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Monicas Julio 2021\"/>
    </mc:Choice>
  </mc:AlternateContent>
  <bookViews>
    <workbookView xWindow="0" yWindow="0" windowWidth="28800" windowHeight="122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M29" i="1"/>
  <c r="J29" i="1"/>
  <c r="G29" i="1"/>
  <c r="O28" i="1"/>
  <c r="I28" i="1"/>
  <c r="H28" i="1"/>
  <c r="K28" i="1" s="1"/>
  <c r="L28" i="1" s="1"/>
  <c r="O27" i="1"/>
  <c r="I27" i="1"/>
  <c r="H27" i="1"/>
  <c r="K27" i="1" s="1"/>
  <c r="L27" i="1" s="1"/>
  <c r="Q27" i="1" s="1"/>
  <c r="R27" i="1" s="1"/>
  <c r="O26" i="1"/>
  <c r="I26" i="1"/>
  <c r="H26" i="1"/>
  <c r="O25" i="1"/>
  <c r="I25" i="1"/>
  <c r="H25" i="1"/>
  <c r="K25" i="1" s="1"/>
  <c r="L25" i="1" s="1"/>
  <c r="O24" i="1"/>
  <c r="K24" i="1"/>
  <c r="L24" i="1" s="1"/>
  <c r="Q24" i="1" s="1"/>
  <c r="R24" i="1" s="1"/>
  <c r="I24" i="1"/>
  <c r="H24" i="1"/>
  <c r="O23" i="1"/>
  <c r="K23" i="1"/>
  <c r="L23" i="1" s="1"/>
  <c r="Q23" i="1" s="1"/>
  <c r="R23" i="1" s="1"/>
  <c r="I23" i="1"/>
  <c r="H23" i="1"/>
  <c r="O22" i="1"/>
  <c r="I22" i="1"/>
  <c r="H22" i="1"/>
  <c r="K22" i="1" s="1"/>
  <c r="L22" i="1" s="1"/>
  <c r="Q22" i="1" s="1"/>
  <c r="R22" i="1" s="1"/>
  <c r="O21" i="1"/>
  <c r="I21" i="1"/>
  <c r="H21" i="1"/>
  <c r="K21" i="1" s="1"/>
  <c r="L21" i="1" s="1"/>
  <c r="O20" i="1"/>
  <c r="I20" i="1"/>
  <c r="H20" i="1"/>
  <c r="O19" i="1"/>
  <c r="I19" i="1"/>
  <c r="K19" i="1" s="1"/>
  <c r="L19" i="1" s="1"/>
  <c r="H19" i="1"/>
  <c r="Q19" i="1" s="1"/>
  <c r="R19" i="1" s="1"/>
  <c r="O18" i="1"/>
  <c r="I18" i="1"/>
  <c r="H18" i="1"/>
  <c r="O17" i="1"/>
  <c r="O29" i="1" s="1"/>
  <c r="I17" i="1"/>
  <c r="H17" i="1"/>
  <c r="K17" i="1" s="1"/>
  <c r="L17" i="1" s="1"/>
  <c r="Q17" i="1" s="1"/>
  <c r="R17" i="1" s="1"/>
  <c r="O16" i="1"/>
  <c r="I16" i="1"/>
  <c r="H16" i="1"/>
  <c r="K16" i="1" s="1"/>
  <c r="L16" i="1" s="1"/>
  <c r="O15" i="1"/>
  <c r="I15" i="1"/>
  <c r="H15" i="1"/>
  <c r="K15" i="1" s="1"/>
  <c r="L15" i="1" s="1"/>
  <c r="Q15" i="1" s="1"/>
  <c r="R15" i="1" s="1"/>
  <c r="O14" i="1"/>
  <c r="I14" i="1"/>
  <c r="H14" i="1"/>
  <c r="O13" i="1"/>
  <c r="I13" i="1"/>
  <c r="H13" i="1"/>
  <c r="O12" i="1"/>
  <c r="K12" i="1"/>
  <c r="L12" i="1" s="1"/>
  <c r="Q12" i="1" s="1"/>
  <c r="R12" i="1" s="1"/>
  <c r="I12" i="1"/>
  <c r="H12" i="1"/>
  <c r="O11" i="1"/>
  <c r="I11" i="1"/>
  <c r="H11" i="1"/>
  <c r="K11" i="1" s="1"/>
  <c r="L11" i="1" s="1"/>
  <c r="P11" i="1" s="1"/>
  <c r="O10" i="1"/>
  <c r="I10" i="1"/>
  <c r="H10" i="1"/>
  <c r="K10" i="1" s="1"/>
  <c r="L10" i="1" s="1"/>
  <c r="O9" i="1"/>
  <c r="I9" i="1"/>
  <c r="K9" i="1" s="1"/>
  <c r="H9" i="1"/>
  <c r="Q26" i="1" l="1"/>
  <c r="R26" i="1" s="1"/>
  <c r="Q18" i="1"/>
  <c r="R18" i="1" s="1"/>
  <c r="Q20" i="1"/>
  <c r="R20" i="1" s="1"/>
  <c r="P10" i="1"/>
  <c r="P29" i="1" s="1"/>
  <c r="Q10" i="1"/>
  <c r="R10" i="1" s="1"/>
  <c r="L9" i="1"/>
  <c r="K18" i="1"/>
  <c r="L18" i="1" s="1"/>
  <c r="Q21" i="1"/>
  <c r="R21" i="1" s="1"/>
  <c r="K13" i="1"/>
  <c r="L13" i="1" s="1"/>
  <c r="Q13" i="1" s="1"/>
  <c r="R13" i="1" s="1"/>
  <c r="Q16" i="1"/>
  <c r="R16" i="1" s="1"/>
  <c r="Q28" i="1"/>
  <c r="R28" i="1" s="1"/>
  <c r="Q11" i="1"/>
  <c r="R11" i="1" s="1"/>
  <c r="K20" i="1"/>
  <c r="L20" i="1" s="1"/>
  <c r="Q25" i="1"/>
  <c r="R25" i="1" s="1"/>
  <c r="H29" i="1"/>
  <c r="I29" i="1"/>
  <c r="K14" i="1"/>
  <c r="L14" i="1" s="1"/>
  <c r="Q14" i="1" s="1"/>
  <c r="R14" i="1" s="1"/>
  <c r="K26" i="1"/>
  <c r="L26" i="1" s="1"/>
  <c r="L29" i="1" l="1"/>
  <c r="K29" i="1"/>
  <c r="Q9" i="1"/>
  <c r="R9" i="1" l="1"/>
  <c r="R29" i="1" s="1"/>
  <c r="Q29" i="1"/>
</calcChain>
</file>

<file path=xl/sharedStrings.xml><?xml version="1.0" encoding="utf-8"?>
<sst xmlns="http://schemas.openxmlformats.org/spreadsheetml/2006/main" count="40" uniqueCount="33">
  <si>
    <t>Unidad de Análisis Financiero</t>
  </si>
  <si>
    <t>Nómina Personal Contratato Julio 2021</t>
  </si>
  <si>
    <t>No.</t>
  </si>
  <si>
    <t>Cargos</t>
  </si>
  <si>
    <t xml:space="preserve">Inicio Contrato </t>
  </si>
  <si>
    <t>Término Contrato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</si>
  <si>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</si>
  <si>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</si>
  <si>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</si>
  <si>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</si>
  <si>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</si>
  <si>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</si>
  <si>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</si>
  <si>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</si>
  <si>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</si>
  <si>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de Gastos Educativos </t>
  </si>
  <si>
    <t>Total Descuentos</t>
  </si>
  <si>
    <t>Salario a Pagar</t>
  </si>
  <si>
    <t xml:space="preserve">Administrador de Seguridad </t>
  </si>
  <si>
    <t>Abogado II</t>
  </si>
  <si>
    <t>Enc. De Comunicaciones</t>
  </si>
  <si>
    <t xml:space="preserve">Enc. Adm. Y Financiero </t>
  </si>
  <si>
    <t>Analista de Presupuesto</t>
  </si>
  <si>
    <t>Enc. De Compras Y Cont.</t>
  </si>
  <si>
    <t>Enc. de Servicios Generales</t>
  </si>
  <si>
    <t>Soporte Mesa De Ayuda</t>
  </si>
  <si>
    <t>Enc. Depto. TIC</t>
  </si>
  <si>
    <t>1126/2021</t>
  </si>
  <si>
    <t>Soporte Técnico Informático</t>
  </si>
  <si>
    <t xml:space="preserve">Director de Analisis </t>
  </si>
  <si>
    <t xml:space="preserve">Analista </t>
  </si>
  <si>
    <t>Enc. Dpto. Coord. N.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</si>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</sst>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9"/>
      <color theme="0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7"/>
      <color theme="1"/>
      <name val="Calibri Light"/>
      <family val="2"/>
    </font>
    <font>
      <b/>
      <u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14" fontId="6" fillId="3" borderId="2" xfId="0" applyNumberFormat="1" applyFont="1" applyFill="1" applyBorder="1" applyAlignment="1">
      <alignment horizontal="right" vertical="center"/>
    </xf>
    <xf numFmtId="43" fontId="1" fillId="0" borderId="2" xfId="1" applyFont="1" applyBorder="1" applyAlignment="1">
      <alignment horizontal="right" vertical="center"/>
    </xf>
    <xf numFmtId="43" fontId="1" fillId="0" borderId="2" xfId="1" applyFont="1" applyFill="1" applyBorder="1" applyAlignment="1">
      <alignment vertical="center"/>
    </xf>
    <xf numFmtId="43" fontId="1" fillId="0" borderId="2" xfId="1" applyFont="1" applyBorder="1" applyAlignment="1">
      <alignment vertical="center"/>
    </xf>
    <xf numFmtId="4" fontId="1" fillId="0" borderId="2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4" fontId="1" fillId="0" borderId="2" xfId="1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right" vertical="center"/>
    </xf>
    <xf numFmtId="43" fontId="1" fillId="0" borderId="2" xfId="1" applyFont="1" applyFill="1" applyBorder="1" applyAlignment="1">
      <alignment horizontal="right" vertical="center"/>
    </xf>
    <xf numFmtId="43" fontId="1" fillId="0" borderId="2" xfId="1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4" fontId="6" fillId="3" borderId="3" xfId="0" applyNumberFormat="1" applyFont="1" applyFill="1" applyBorder="1" applyAlignment="1">
      <alignment horizontal="right" vertical="center"/>
    </xf>
    <xf numFmtId="14" fontId="1" fillId="0" borderId="3" xfId="0" applyNumberFormat="1" applyFont="1" applyFill="1" applyBorder="1" applyAlignment="1">
      <alignment horizontal="right" vertical="center"/>
    </xf>
    <xf numFmtId="43" fontId="1" fillId="0" borderId="3" xfId="1" applyFont="1" applyBorder="1" applyAlignment="1">
      <alignment horizontal="center"/>
    </xf>
    <xf numFmtId="43" fontId="1" fillId="0" borderId="3" xfId="1" applyFont="1" applyFill="1" applyBorder="1" applyAlignment="1">
      <alignment vertical="center"/>
    </xf>
    <xf numFmtId="43" fontId="1" fillId="0" borderId="3" xfId="1" applyFont="1" applyBorder="1" applyAlignment="1">
      <alignment vertical="center"/>
    </xf>
    <xf numFmtId="4" fontId="1" fillId="0" borderId="3" xfId="1" applyNumberFormat="1" applyFont="1" applyFill="1" applyBorder="1" applyAlignment="1">
      <alignment horizontal="right" vertical="center"/>
    </xf>
    <xf numFmtId="43" fontId="1" fillId="0" borderId="3" xfId="1" applyFont="1" applyBorder="1" applyAlignment="1">
      <alignment horizontal="right" vertical="center"/>
    </xf>
    <xf numFmtId="43" fontId="7" fillId="0" borderId="3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7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3" fontId="8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1" fillId="0" borderId="0" xfId="0" applyFont="1"/>
    <xf numFmtId="43" fontId="1" fillId="0" borderId="0" xfId="0" applyNumberFormat="1" applyFont="1"/>
    <xf numFmtId="0" fontId="10" fillId="0" borderId="0" xfId="0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857249</xdr:colOff>
      <xdr:row>0</xdr:row>
      <xdr:rowOff>0</xdr:rowOff>
    </xdr:from>
    <xdr:to>
      <xdr:col>10</xdr:col>
      <xdr:colOff>1133474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143CBF-A64A-4827-946C-16EEC4ACD9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9" y="0"/>
          <a:ext cx="2038350" cy="666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29</xdr:row>
      <xdr:rowOff>190500</xdr:rowOff>
    </xdr:from>
    <xdr:to>
      <xdr:col>14</xdr:col>
      <xdr:colOff>563187</xdr:colOff>
      <xdr:row>39</xdr:row>
      <xdr:rowOff>57411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6300" y="6724650"/>
          <a:ext cx="8688012" cy="1867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tillo/AppData/Local/Microsoft/Windows/INetCache/Content.Outlook/8HKKX4ZK/N&#243;mina%20de%20Empleado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39"/>
  <sheetViews>
    <sheetView tabSelected="1" workbookViewId="0">
      <selection activeCell="C5" sqref="C5:R5"/>
    </sheetView>
  </sheetViews>
  <sheetFormatPr baseColWidth="10" defaultRowHeight="15.75" x14ac:dyDescent="0.25"/>
  <cols>
    <col min="1" max="2" width="9.5" customWidth="1"/>
    <col min="3" max="3" width="4" style="3" customWidth="1"/>
    <col min="4" max="4" width="22.25" style="48" customWidth="1"/>
    <col min="5" max="5" width="10.625" style="48" customWidth="1"/>
    <col min="6" max="6" width="9.5" style="48" customWidth="1"/>
    <col min="7" max="7" width="15" style="48" customWidth="1"/>
    <col min="8" max="8" width="11.5" style="48" customWidth="1"/>
    <col min="9" max="9" width="12.5" style="48" customWidth="1"/>
    <col min="10" max="10" width="10.625" style="48" customWidth="1"/>
    <col min="11" max="11" width="15" style="48" customWidth="1"/>
    <col min="12" max="12" width="13.5" style="48" customWidth="1"/>
    <col min="13" max="13" width="11.5" style="48" customWidth="1"/>
    <col min="14" max="14" width="9" style="48" customWidth="1"/>
    <col min="15" max="15" width="10.25" style="48" customWidth="1"/>
    <col min="16" max="16" width="11" style="48" customWidth="1"/>
    <col min="17" max="17" width="13.125" style="48" customWidth="1"/>
    <col min="18" max="18" width="14.125" style="48" customWidth="1"/>
  </cols>
  <sheetData>
    <row r="4" spans="3:18" ht="18.75" x14ac:dyDescent="0.3"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ht="18.75" x14ac:dyDescent="0.3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8.75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3:18" x14ac:dyDescent="0.25">
      <c r="D7" s="4"/>
      <c r="E7" s="4"/>
      <c r="F7" s="4"/>
      <c r="G7" s="5"/>
      <c r="H7" s="4"/>
      <c r="I7" s="4"/>
      <c r="J7" s="4"/>
      <c r="K7" s="4"/>
      <c r="L7" s="5"/>
      <c r="M7" s="5"/>
      <c r="N7" s="6"/>
      <c r="O7" s="6"/>
      <c r="P7" s="6"/>
      <c r="Q7" s="5"/>
      <c r="R7" s="5"/>
    </row>
    <row r="8" spans="3:18" ht="63" x14ac:dyDescent="0.25"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  <c r="Q8" s="7" t="s">
        <v>16</v>
      </c>
      <c r="R8" s="8" t="s">
        <v>17</v>
      </c>
    </row>
    <row r="9" spans="3:18" x14ac:dyDescent="0.25">
      <c r="C9" s="9">
        <v>1</v>
      </c>
      <c r="D9" s="10" t="s">
        <v>18</v>
      </c>
      <c r="E9" s="11">
        <v>44015</v>
      </c>
      <c r="F9" s="11">
        <v>44564</v>
      </c>
      <c r="G9" s="12">
        <v>70000</v>
      </c>
      <c r="H9" s="13">
        <f>IF(G9&gt;=[1]Datos!$D$14,([1]Datos!$D$14*[1]Datos!$C$14),IF(G9&lt;=[1]Datos!$D$14,(G9*[1]Datos!$C$14)))</f>
        <v>2009</v>
      </c>
      <c r="I9" s="14">
        <f>IF(G9&gt;=[1]Datos!$D$15,([1]Datos!$D$15*[1]Datos!$C$15),IF(G9&lt;=[1]Datos!$D$15,(G9*[1]Datos!$C$15)))</f>
        <v>2128</v>
      </c>
      <c r="J9" s="12">
        <v>2380.2399999999998</v>
      </c>
      <c r="K9" s="12">
        <f t="shared" ref="K9:K20" si="0">+G9-(H9+I9+J9)</f>
        <v>63482.76</v>
      </c>
      <c r="L9" s="12">
        <f>IF(K9&lt;=[1]Datos!$G$7,"0",IF(K9&lt;=[1]Datos!$G$8,(K9-[1]Datos!$F$8)*[1]Datos!$I$6,IF(K9&lt;=[1]Datos!$G$9,[1]Datos!$I$8+(K9-[1]Datos!$F$9)*[1]Datos!$J$6,IF(K9&gt;=[1]Datos!$F$10,([1]Datos!$I$8+[1]Datos!$J$8)+(K9-[1]Datos!$F$10)*[1]Datos!$K$6))))</f>
        <v>4892.4276666666665</v>
      </c>
      <c r="M9" s="15">
        <v>1047.8499999999999</v>
      </c>
      <c r="N9" s="15">
        <v>25</v>
      </c>
      <c r="O9" s="15">
        <f t="shared" ref="O9:O20" si="1">+J9+M9+N9</f>
        <v>3453.0899999999997</v>
      </c>
      <c r="P9" s="15"/>
      <c r="Q9" s="12">
        <f>+H9+I9+L9+O9</f>
        <v>12482.517666666667</v>
      </c>
      <c r="R9" s="16">
        <f t="shared" ref="R9:R20" si="2">+G9-Q9</f>
        <v>57517.482333333333</v>
      </c>
    </row>
    <row r="10" spans="3:18" x14ac:dyDescent="0.25">
      <c r="C10" s="9">
        <v>2</v>
      </c>
      <c r="D10" s="17" t="s">
        <v>19</v>
      </c>
      <c r="E10" s="11">
        <v>44256</v>
      </c>
      <c r="F10" s="11">
        <v>44621</v>
      </c>
      <c r="G10" s="12">
        <v>50000</v>
      </c>
      <c r="H10" s="13">
        <f>IF(G10&gt;=[1]Datos!$D$14,([1]Datos!$D$14*[1]Datos!$C$14),IF(G10&lt;=[1]Datos!$D$14,(G10*[1]Datos!$C$14)))</f>
        <v>1435</v>
      </c>
      <c r="I10" s="14">
        <f>IF(G10&gt;=[1]Datos!$D$15,([1]Datos!$D$15*[1]Datos!$C$15),IF(G10&lt;=[1]Datos!$D$15,(G10*[1]Datos!$C$15)))</f>
        <v>1520</v>
      </c>
      <c r="J10" s="18"/>
      <c r="K10" s="12">
        <f t="shared" si="0"/>
        <v>47045</v>
      </c>
      <c r="L10" s="12">
        <f>IF(K10&lt;=[1]Datos!$G$7,"0",IF(K10&lt;=[1]Datos!$G$8,(K10-[1]Datos!$F$8)*[1]Datos!$I$6,IF(K10&lt;=[1]Datos!$G$9,[1]Datos!$I$8+(K10-[1]Datos!$F$9)*[1]Datos!$J$6,IF(K10&gt;=[1]Datos!$F$10,([1]Datos!$I$8+[1]Datos!$J$8)+(K10-[1]Datos!$F$10)*[1]Datos!$K$6))))</f>
        <v>1853.9984999999997</v>
      </c>
      <c r="M10" s="15">
        <v>3514.51</v>
      </c>
      <c r="N10" s="15">
        <v>25</v>
      </c>
      <c r="O10" s="15">
        <f t="shared" si="1"/>
        <v>3539.51</v>
      </c>
      <c r="P10" s="15">
        <f>+L10</f>
        <v>1853.9984999999997</v>
      </c>
      <c r="Q10" s="12">
        <f>+H10+I10+L10+O10-P10</f>
        <v>6494.51</v>
      </c>
      <c r="R10" s="16">
        <f t="shared" si="2"/>
        <v>43505.49</v>
      </c>
    </row>
    <row r="11" spans="3:18" x14ac:dyDescent="0.25">
      <c r="C11" s="9">
        <v>3</v>
      </c>
      <c r="D11" s="19" t="s">
        <v>20</v>
      </c>
      <c r="E11" s="11">
        <v>44166</v>
      </c>
      <c r="F11" s="20">
        <v>44531</v>
      </c>
      <c r="G11" s="12">
        <v>135000</v>
      </c>
      <c r="H11" s="13">
        <f>IF(G11&gt;=[1]Datos!$D$14,([1]Datos!$D$14*[1]Datos!$C$14),IF(G11&lt;=[1]Datos!$D$14,(G11*[1]Datos!$C$14)))</f>
        <v>3874.5</v>
      </c>
      <c r="I11" s="14">
        <f>IF(G11&gt;=[1]Datos!$D$15,([1]Datos!$D$15*[1]Datos!$C$15),IF(G11&lt;=[1]Datos!$D$15,(G11*[1]Datos!$C$15)))</f>
        <v>4098.5280000000002</v>
      </c>
      <c r="J11" s="18"/>
      <c r="K11" s="12">
        <f t="shared" si="0"/>
        <v>127026.97199999999</v>
      </c>
      <c r="L11" s="12">
        <f>IF(K11&lt;=[1]Datos!$G$7,"0",IF(K11&lt;=[1]Datos!$G$8,(K11-[1]Datos!$F$8)*[1]Datos!$I$6,IF(K11&lt;=[1]Datos!$G$9,[1]Datos!$I$8+(K11-[1]Datos!$F$9)*[1]Datos!$J$6,IF(K11&gt;=[1]Datos!$F$10,([1]Datos!$I$8+[1]Datos!$J$8)+(K11-[1]Datos!$F$10)*[1]Datos!$K$6))))</f>
        <v>20339.603666666666</v>
      </c>
      <c r="M11" s="21">
        <v>1305.83</v>
      </c>
      <c r="N11" s="15">
        <v>25</v>
      </c>
      <c r="O11" s="15">
        <f t="shared" si="1"/>
        <v>1330.83</v>
      </c>
      <c r="P11" s="15">
        <f>+L11</f>
        <v>20339.603666666666</v>
      </c>
      <c r="Q11" s="12">
        <f>+H11+I11+L11+O11-P11</f>
        <v>9303.8580000000038</v>
      </c>
      <c r="R11" s="16">
        <f t="shared" si="2"/>
        <v>125696.14199999999</v>
      </c>
    </row>
    <row r="12" spans="3:18" x14ac:dyDescent="0.25">
      <c r="C12" s="9">
        <v>4</v>
      </c>
      <c r="D12" s="19" t="s">
        <v>21</v>
      </c>
      <c r="E12" s="11">
        <v>44201</v>
      </c>
      <c r="F12" s="20">
        <v>44579</v>
      </c>
      <c r="G12" s="12">
        <v>150000</v>
      </c>
      <c r="H12" s="13">
        <f>IF(G12&gt;=[1]Datos!$D$14,([1]Datos!$D$14*[1]Datos!$C$14),IF(G12&lt;=[1]Datos!$D$14,(G12*[1]Datos!$C$14)))</f>
        <v>4305</v>
      </c>
      <c r="I12" s="14">
        <f>IF(G12&gt;=[1]Datos!$D$15,([1]Datos!$D$15*[1]Datos!$C$15),IF(G12&lt;=[1]Datos!$D$15,(G12*[1]Datos!$C$15)))</f>
        <v>4098.5280000000002</v>
      </c>
      <c r="J12" s="18"/>
      <c r="K12" s="12">
        <f t="shared" si="0"/>
        <v>141596.47200000001</v>
      </c>
      <c r="L12" s="12">
        <f>IF(K12&lt;=[1]Datos!$G$7,"0",IF(K12&lt;=[1]Datos!$G$8,(K12-[1]Datos!$F$8)*[1]Datos!$I$6,IF(K12&lt;=[1]Datos!$G$9,[1]Datos!$I$8+(K12-[1]Datos!$F$9)*[1]Datos!$J$6,IF(K12&gt;=[1]Datos!$F$10,([1]Datos!$I$8+[1]Datos!$J$8)+(K12-[1]Datos!$F$10)*[1]Datos!$K$6))))</f>
        <v>23981.97866666667</v>
      </c>
      <c r="M12" s="21">
        <v>1889.29</v>
      </c>
      <c r="N12" s="15">
        <v>25</v>
      </c>
      <c r="O12" s="15">
        <f t="shared" si="1"/>
        <v>1914.29</v>
      </c>
      <c r="P12" s="15"/>
      <c r="Q12" s="12">
        <f>+H12+I12+L12+O12</f>
        <v>34299.796666666669</v>
      </c>
      <c r="R12" s="16">
        <f t="shared" si="2"/>
        <v>115700.20333333334</v>
      </c>
    </row>
    <row r="13" spans="3:18" x14ac:dyDescent="0.25">
      <c r="C13" s="9">
        <v>5</v>
      </c>
      <c r="D13" s="17" t="s">
        <v>22</v>
      </c>
      <c r="E13" s="11">
        <v>44201</v>
      </c>
      <c r="F13" s="20">
        <v>44566</v>
      </c>
      <c r="G13" s="12">
        <v>60000</v>
      </c>
      <c r="H13" s="13">
        <f>IF(G13&gt;=[1]Datos!$D$14,([1]Datos!$D$14*[1]Datos!$C$14),IF(G13&lt;=[1]Datos!$D$14,(G13*[1]Datos!$C$14)))</f>
        <v>1722</v>
      </c>
      <c r="I13" s="14">
        <f>IF(G13&gt;=[1]Datos!$D$15,([1]Datos!$D$15*[1]Datos!$C$15),IF(G13&lt;=[1]Datos!$D$15,(G13*[1]Datos!$C$15)))</f>
        <v>1824</v>
      </c>
      <c r="J13" s="18"/>
      <c r="K13" s="12">
        <f t="shared" si="0"/>
        <v>56454</v>
      </c>
      <c r="L13" s="12">
        <f>IF(K13&lt;=[1]Datos!$G$7,"0",IF(K13&lt;=[1]Datos!$G$8,(K13-[1]Datos!$F$8)*[1]Datos!$I$6,IF(K13&lt;=[1]Datos!$G$9,[1]Datos!$I$8+(K13-[1]Datos!$F$9)*[1]Datos!$J$6,IF(K13&gt;=[1]Datos!$F$10,([1]Datos!$I$8+[1]Datos!$J$8)+(K13-[1]Datos!$F$10)*[1]Datos!$K$6))))</f>
        <v>3486.6756666666661</v>
      </c>
      <c r="M13" s="15">
        <v>3914.4</v>
      </c>
      <c r="N13" s="15">
        <v>25</v>
      </c>
      <c r="O13" s="15">
        <f t="shared" si="1"/>
        <v>3939.4</v>
      </c>
      <c r="P13" s="15"/>
      <c r="Q13" s="12">
        <f>+H13+I13+L13+O13</f>
        <v>10972.075666666666</v>
      </c>
      <c r="R13" s="16">
        <f t="shared" si="2"/>
        <v>49027.924333333336</v>
      </c>
    </row>
    <row r="14" spans="3:18" x14ac:dyDescent="0.25">
      <c r="C14" s="9">
        <v>6</v>
      </c>
      <c r="D14" s="19" t="s">
        <v>23</v>
      </c>
      <c r="E14" s="11">
        <v>44287</v>
      </c>
      <c r="F14" s="11">
        <v>44470</v>
      </c>
      <c r="G14" s="12">
        <v>115000</v>
      </c>
      <c r="H14" s="13">
        <f>IF(G14&gt;=[1]Datos!$D$14,([1]Datos!$D$14*[1]Datos!$C$14),IF(G14&lt;=[1]Datos!$D$14,(G14*[1]Datos!$C$14)))</f>
        <v>3300.5</v>
      </c>
      <c r="I14" s="14">
        <f>IF(G14&gt;=[1]Datos!$D$15,([1]Datos!$D$15*[1]Datos!$C$15),IF(G14&lt;=[1]Datos!$D$15,(G14*[1]Datos!$C$15)))</f>
        <v>3496</v>
      </c>
      <c r="J14" s="18"/>
      <c r="K14" s="12">
        <f t="shared" si="0"/>
        <v>108203.5</v>
      </c>
      <c r="L14" s="12">
        <f>IF(K14&lt;=[1]Datos!$G$7,"0",IF(K14&lt;=[1]Datos!$G$8,(K14-[1]Datos!$F$8)*[1]Datos!$I$6,IF(K14&lt;=[1]Datos!$G$9,[1]Datos!$I$8+(K14-[1]Datos!$F$9)*[1]Datos!$J$6,IF(K14&gt;=[1]Datos!$F$10,([1]Datos!$I$8+[1]Datos!$J$8)+(K14-[1]Datos!$F$10)*[1]Datos!$K$6))))</f>
        <v>15633.735666666667</v>
      </c>
      <c r="M14" s="15"/>
      <c r="N14" s="15">
        <v>25</v>
      </c>
      <c r="O14" s="15">
        <f t="shared" si="1"/>
        <v>25</v>
      </c>
      <c r="P14" s="15"/>
      <c r="Q14" s="12">
        <f t="shared" ref="Q14" si="3">+H14+I14+L14+O14-P14</f>
        <v>22455.235666666667</v>
      </c>
      <c r="R14" s="16">
        <f t="shared" si="2"/>
        <v>92544.764333333325</v>
      </c>
    </row>
    <row r="15" spans="3:18" x14ac:dyDescent="0.25">
      <c r="C15" s="9">
        <v>7</v>
      </c>
      <c r="D15" s="19" t="s">
        <v>24</v>
      </c>
      <c r="E15" s="11">
        <v>44201</v>
      </c>
      <c r="F15" s="20">
        <v>44566</v>
      </c>
      <c r="G15" s="21">
        <v>105000</v>
      </c>
      <c r="H15" s="13">
        <f>IF(G15&gt;=[1]Datos!$D$14,([1]Datos!$D$14*[1]Datos!$C$14),IF(G15&lt;=[1]Datos!$D$14,(G15*[1]Datos!$C$14)))</f>
        <v>3013.5</v>
      </c>
      <c r="I15" s="14">
        <f>IF(G15&gt;=[1]Datos!$D$15,([1]Datos!$D$15*[1]Datos!$C$15),IF(G15&lt;=[1]Datos!$D$15,(G15*[1]Datos!$C$15)))</f>
        <v>3192</v>
      </c>
      <c r="J15" s="12"/>
      <c r="K15" s="12">
        <f t="shared" si="0"/>
        <v>98794.5</v>
      </c>
      <c r="L15" s="12">
        <f>IF(K15&lt;=[1]Datos!$G$7,"0",IF(K15&lt;=[1]Datos!$G$8,(K15-[1]Datos!$F$8)*[1]Datos!$I$6,IF(K15&lt;=[1]Datos!$G$9,[1]Datos!$I$8+(K15-[1]Datos!$F$9)*[1]Datos!$J$6,IF(K15&gt;=[1]Datos!$F$10,([1]Datos!$I$8+[1]Datos!$J$8)+(K15-[1]Datos!$F$10)*[1]Datos!$K$6))))</f>
        <v>13281.485666666667</v>
      </c>
      <c r="M15" s="21"/>
      <c r="N15" s="15">
        <v>25</v>
      </c>
      <c r="O15" s="15">
        <f t="shared" si="1"/>
        <v>25</v>
      </c>
      <c r="P15" s="15"/>
      <c r="Q15" s="12">
        <f>+H15+I15+L15+O15</f>
        <v>19511.985666666667</v>
      </c>
      <c r="R15" s="16">
        <f t="shared" si="2"/>
        <v>85488.014333333325</v>
      </c>
    </row>
    <row r="16" spans="3:18" x14ac:dyDescent="0.25">
      <c r="C16" s="9">
        <v>8</v>
      </c>
      <c r="D16" s="19" t="s">
        <v>25</v>
      </c>
      <c r="E16" s="11">
        <v>44228</v>
      </c>
      <c r="F16" s="20">
        <v>44593</v>
      </c>
      <c r="G16" s="12">
        <v>43000</v>
      </c>
      <c r="H16" s="13">
        <f>IF(G16&gt;=[1]Datos!$D$14,([1]Datos!$D$14*[1]Datos!$C$14),IF(G16&lt;=[1]Datos!$D$14,(G16*[1]Datos!$C$14)))</f>
        <v>1234.0999999999999</v>
      </c>
      <c r="I16" s="14">
        <f>IF(G16&gt;=[1]Datos!$D$15,([1]Datos!$D$15*[1]Datos!$C$15),IF(G16&lt;=[1]Datos!$D$15,(G16*[1]Datos!$C$15)))</f>
        <v>1307.2</v>
      </c>
      <c r="J16" s="15">
        <v>1190.1199999999999</v>
      </c>
      <c r="K16" s="12">
        <f t="shared" si="0"/>
        <v>39268.58</v>
      </c>
      <c r="L16" s="12">
        <f>IF(K16&lt;=[1]Datos!$G$7,"0",IF(K16&lt;=[1]Datos!$G$8,(K16-[1]Datos!$F$8)*[1]Datos!$I$6,IF(K16&lt;=[1]Datos!$G$9,[1]Datos!$I$8+(K16-[1]Datos!$F$9)*[1]Datos!$J$6,IF(K16&gt;=[1]Datos!$F$10,([1]Datos!$I$8+[1]Datos!$J$8)+(K16-[1]Datos!$F$10)*[1]Datos!$K$6))))</f>
        <v>687.53549999999996</v>
      </c>
      <c r="M16" s="15"/>
      <c r="N16" s="15">
        <v>25</v>
      </c>
      <c r="O16" s="15">
        <f t="shared" si="1"/>
        <v>1215.1199999999999</v>
      </c>
      <c r="P16" s="15"/>
      <c r="Q16" s="12">
        <f>+H16+I16+L16+O16</f>
        <v>4443.9555</v>
      </c>
      <c r="R16" s="16">
        <f t="shared" si="2"/>
        <v>38556.044500000004</v>
      </c>
    </row>
    <row r="17" spans="3:18" x14ac:dyDescent="0.25">
      <c r="C17" s="9">
        <v>9</v>
      </c>
      <c r="D17" s="19" t="s">
        <v>26</v>
      </c>
      <c r="E17" s="11">
        <v>44166</v>
      </c>
      <c r="F17" s="20" t="s">
        <v>27</v>
      </c>
      <c r="G17" s="12">
        <v>150000</v>
      </c>
      <c r="H17" s="13">
        <f>IF(G17&gt;=[1]Datos!$D$14,([1]Datos!$D$14*[1]Datos!$C$14),IF(G17&lt;=[1]Datos!$D$14,(G17*[1]Datos!$C$14)))</f>
        <v>4305</v>
      </c>
      <c r="I17" s="14">
        <f>IF(G17&gt;=[1]Datos!$D$15,([1]Datos!$D$15*[1]Datos!$C$15),IF(G17&lt;=[1]Datos!$D$15,(G17*[1]Datos!$C$15)))</f>
        <v>4098.5280000000002</v>
      </c>
      <c r="J17" s="18"/>
      <c r="K17" s="12">
        <f t="shared" si="0"/>
        <v>141596.47200000001</v>
      </c>
      <c r="L17" s="12">
        <f>IF(K17&lt;=[1]Datos!$G$7,"0",IF(K17&lt;=[1]Datos!$G$8,(K17-[1]Datos!$F$8)*[1]Datos!$I$6,IF(K17&lt;=[1]Datos!$G$9,[1]Datos!$I$8+(K17-[1]Datos!$F$9)*[1]Datos!$J$6,IF(K17&gt;=[1]Datos!$F$10,([1]Datos!$I$8+[1]Datos!$J$8)+(K17-[1]Datos!$F$10)*[1]Datos!$K$6))))</f>
        <v>23981.97866666667</v>
      </c>
      <c r="M17" s="15">
        <v>3778.58</v>
      </c>
      <c r="N17" s="15">
        <v>25</v>
      </c>
      <c r="O17" s="15">
        <f t="shared" si="1"/>
        <v>3803.58</v>
      </c>
      <c r="P17" s="15"/>
      <c r="Q17" s="12">
        <f>+H17+I17+L17+O17</f>
        <v>36189.08666666667</v>
      </c>
      <c r="R17" s="16">
        <f t="shared" si="2"/>
        <v>113810.91333333333</v>
      </c>
    </row>
    <row r="18" spans="3:18" x14ac:dyDescent="0.25">
      <c r="C18" s="9">
        <v>10</v>
      </c>
      <c r="D18" s="17" t="s">
        <v>25</v>
      </c>
      <c r="E18" s="11">
        <v>44201</v>
      </c>
      <c r="F18" s="20">
        <v>44566</v>
      </c>
      <c r="G18" s="12">
        <v>45000</v>
      </c>
      <c r="H18" s="13">
        <f>IF(G18&gt;=[1]Datos!$D$14,([1]Datos!$D$14*[1]Datos!$C$14),IF(G18&lt;=[1]Datos!$D$14,(G18*[1]Datos!$C$14)))</f>
        <v>1291.5</v>
      </c>
      <c r="I18" s="14">
        <f>IF(G18&gt;=[1]Datos!$D$15,([1]Datos!$D$15*[1]Datos!$C$15),IF(G18&lt;=[1]Datos!$D$15,(G18*[1]Datos!$C$15)))</f>
        <v>1368</v>
      </c>
      <c r="J18" s="18"/>
      <c r="K18" s="12">
        <f t="shared" si="0"/>
        <v>42340.5</v>
      </c>
      <c r="L18" s="12">
        <f>IF(K18&lt;=[1]Datos!$G$7,"0",IF(K18&lt;=[1]Datos!$G$8,(K18-[1]Datos!$F$8)*[1]Datos!$I$6,IF(K18&lt;=[1]Datos!$G$9,[1]Datos!$I$8+(K18-[1]Datos!$F$9)*[1]Datos!$J$6,IF(K18&gt;=[1]Datos!$F$10,([1]Datos!$I$8+[1]Datos!$J$8)+(K18-[1]Datos!$F$10)*[1]Datos!$K$6))))</f>
        <v>1148.3234999999997</v>
      </c>
      <c r="M18" s="15">
        <v>349.28</v>
      </c>
      <c r="N18" s="15">
        <v>25</v>
      </c>
      <c r="O18" s="15">
        <f t="shared" si="1"/>
        <v>374.28</v>
      </c>
      <c r="P18" s="15"/>
      <c r="Q18" s="12">
        <f>+H18+I18+L18+O18</f>
        <v>4182.1034999999993</v>
      </c>
      <c r="R18" s="16">
        <f t="shared" si="2"/>
        <v>40817.896500000003</v>
      </c>
    </row>
    <row r="19" spans="3:18" x14ac:dyDescent="0.25">
      <c r="C19" s="9">
        <v>11</v>
      </c>
      <c r="D19" s="19" t="s">
        <v>25</v>
      </c>
      <c r="E19" s="11">
        <v>44256</v>
      </c>
      <c r="F19" s="20">
        <v>44440</v>
      </c>
      <c r="G19" s="22">
        <v>41000</v>
      </c>
      <c r="H19" s="13">
        <f>IF(G19&gt;=[1]Datos!$D$14,([1]Datos!$D$14*[1]Datos!$C$14),IF(G19&lt;=[1]Datos!$D$14,(G19*[1]Datos!$C$14)))</f>
        <v>1176.7</v>
      </c>
      <c r="I19" s="14">
        <f>IF(G19&gt;=[1]Datos!$D$15,([1]Datos!$D$15*[1]Datos!$C$15),IF(G19&lt;=[1]Datos!$D$15,(G19*[1]Datos!$C$15)))</f>
        <v>1246.4000000000001</v>
      </c>
      <c r="J19" s="18"/>
      <c r="K19" s="12">
        <f t="shared" si="0"/>
        <v>38576.9</v>
      </c>
      <c r="L19" s="12">
        <f>IF(K19&lt;=[1]Datos!$G$7,"0",IF(K19&lt;=[1]Datos!$G$8,(K19-[1]Datos!$F$8)*[1]Datos!$I$6,IF(K19&lt;=[1]Datos!$G$9,[1]Datos!$I$8+(K19-[1]Datos!$F$9)*[1]Datos!$J$6,IF(K19&gt;=[1]Datos!$F$10,([1]Datos!$I$8+[1]Datos!$J$8)+(K19-[1]Datos!$F$10)*[1]Datos!$K$6))))</f>
        <v>583.78349999999989</v>
      </c>
      <c r="M19" s="15"/>
      <c r="N19" s="15">
        <v>25</v>
      </c>
      <c r="O19" s="15">
        <f t="shared" si="1"/>
        <v>25</v>
      </c>
      <c r="P19" s="15"/>
      <c r="Q19" s="12">
        <f>+H19+I19+L19+O19</f>
        <v>3031.8835000000004</v>
      </c>
      <c r="R19" s="16">
        <f t="shared" si="2"/>
        <v>37968.116499999996</v>
      </c>
    </row>
    <row r="20" spans="3:18" x14ac:dyDescent="0.25">
      <c r="C20" s="9">
        <v>12</v>
      </c>
      <c r="D20" s="19" t="s">
        <v>28</v>
      </c>
      <c r="E20" s="11">
        <v>44287</v>
      </c>
      <c r="F20" s="23">
        <v>44470</v>
      </c>
      <c r="G20" s="21">
        <v>48000</v>
      </c>
      <c r="H20" s="13">
        <f>IF(G20&gt;=[1]Datos!$D$14,([1]Datos!$D$14*[1]Datos!$C$14),IF(G20&lt;=[1]Datos!$D$14,(G20*[1]Datos!$C$14)))</f>
        <v>1377.6</v>
      </c>
      <c r="I20" s="13">
        <f>IF(G20&gt;=[1]Datos!$D$15,([1]Datos!$D$15*[1]Datos!$C$15),IF(G20&lt;=[1]Datos!$D$15,(G20*[1]Datos!$C$15)))</f>
        <v>1459.2</v>
      </c>
      <c r="J20" s="15"/>
      <c r="K20" s="21">
        <f t="shared" si="0"/>
        <v>45163.199999999997</v>
      </c>
      <c r="L20" s="21">
        <f>IF(K20&lt;=[1]Datos!$G$7,"0",IF(K20&lt;=[1]Datos!$G$8,(K20-[1]Datos!$F$8)*[1]Datos!$I$6,IF(K20&lt;=[1]Datos!$G$9,[1]Datos!$I$8+(K20-[1]Datos!$F$9)*[1]Datos!$J$6,IF(K20&gt;=[1]Datos!$F$10,([1]Datos!$I$8+[1]Datos!$J$8)+(K20-[1]Datos!$F$10)*[1]Datos!$K$6))))</f>
        <v>1571.7284999999993</v>
      </c>
      <c r="M20" s="15"/>
      <c r="N20" s="15">
        <v>25</v>
      </c>
      <c r="O20" s="15">
        <f t="shared" si="1"/>
        <v>25</v>
      </c>
      <c r="P20" s="15"/>
      <c r="Q20" s="21">
        <f t="shared" ref="Q20" si="4">+H20+I20+L20+O20-P20</f>
        <v>4433.5284999999994</v>
      </c>
      <c r="R20" s="16">
        <f t="shared" si="2"/>
        <v>43566.4715</v>
      </c>
    </row>
    <row r="21" spans="3:18" x14ac:dyDescent="0.25">
      <c r="C21" s="9">
        <v>13</v>
      </c>
      <c r="D21" s="17" t="s">
        <v>29</v>
      </c>
      <c r="E21" s="11">
        <v>44287</v>
      </c>
      <c r="F21" s="20">
        <v>44470</v>
      </c>
      <c r="G21" s="21">
        <v>165000</v>
      </c>
      <c r="H21" s="13">
        <f>IF(G21&gt;=[1]Datos!$D$14,([1]Datos!$D$14*[1]Datos!$C$14),IF(G21&lt;=[1]Datos!$D$14,(G21*[1]Datos!$C$14)))</f>
        <v>4735.5</v>
      </c>
      <c r="I21" s="14">
        <f>IF(G21&gt;=[1]Datos!$D$15,([1]Datos!$D$15*[1]Datos!$C$15),IF(G21&lt;=[1]Datos!$D$15,(G21*[1]Datos!$C$15)))</f>
        <v>4098.5280000000002</v>
      </c>
      <c r="J21" s="15"/>
      <c r="K21" s="12">
        <f>+G21-(H21+I21+J21)</f>
        <v>156165.97200000001</v>
      </c>
      <c r="L21" s="12">
        <f>IF(K21&lt;=[1]Datos!$G$7,"0",IF(K21&lt;=[1]Datos!$G$8,(K21-[1]Datos!$F$8)*[1]Datos!$I$6,IF(K21&lt;=[1]Datos!$G$9,[1]Datos!$I$8+(K21-[1]Datos!$F$9)*[1]Datos!$J$6,IF(K21&gt;=[1]Datos!$F$10,([1]Datos!$I$8+[1]Datos!$J$8)+(K21-[1]Datos!$F$10)*[1]Datos!$K$6))))</f>
        <v>27624.35366666667</v>
      </c>
      <c r="M21" s="15">
        <v>435.28</v>
      </c>
      <c r="N21" s="15">
        <v>25</v>
      </c>
      <c r="O21" s="15">
        <f>+J21+M21+N21</f>
        <v>460.28</v>
      </c>
      <c r="P21" s="15"/>
      <c r="Q21" s="12">
        <f>+H21+I21+L21+O21</f>
        <v>36918.661666666667</v>
      </c>
      <c r="R21" s="16">
        <f>+G21-Q21</f>
        <v>128081.33833333333</v>
      </c>
    </row>
    <row r="22" spans="3:18" x14ac:dyDescent="0.25">
      <c r="C22" s="9">
        <v>14</v>
      </c>
      <c r="D22" s="19" t="s">
        <v>30</v>
      </c>
      <c r="E22" s="11">
        <v>44228</v>
      </c>
      <c r="F22" s="20">
        <v>44409</v>
      </c>
      <c r="G22" s="22">
        <v>71000</v>
      </c>
      <c r="H22" s="13">
        <f>IF(G22&gt;=[1]Datos!$D$14,([1]Datos!$D$14*[1]Datos!$C$14),IF(G22&lt;=[1]Datos!$D$14,(G22*[1]Datos!$C$14)))</f>
        <v>2037.7</v>
      </c>
      <c r="I22" s="14">
        <f>IF(G22&gt;=[1]Datos!$D$15,([1]Datos!$D$15*[1]Datos!$C$15),IF(G22&lt;=[1]Datos!$D$15,(G22*[1]Datos!$C$15)))</f>
        <v>2158.4</v>
      </c>
      <c r="J22" s="15"/>
      <c r="K22" s="12">
        <f t="shared" ref="K22:K27" si="5">+G22-(H22+I22+J22)</f>
        <v>66803.899999999994</v>
      </c>
      <c r="L22" s="12">
        <f>IF(K22&lt;=[1]Datos!$G$7,"0",IF(K22&lt;=[1]Datos!$G$8,(K22-[1]Datos!$F$8)*[1]Datos!$I$6,IF(K22&lt;=[1]Datos!$G$9,[1]Datos!$I$8+(K22-[1]Datos!$F$9)*[1]Datos!$J$6,IF(K22&gt;=[1]Datos!$F$10,([1]Datos!$I$8+[1]Datos!$J$8)+(K22-[1]Datos!$F$10)*[1]Datos!$K$6))))</f>
        <v>5556.6556666666656</v>
      </c>
      <c r="M22" s="15"/>
      <c r="N22" s="15">
        <v>25</v>
      </c>
      <c r="O22" s="15">
        <f t="shared" ref="O22:O27" si="6">+J22+M22+N22</f>
        <v>25</v>
      </c>
      <c r="P22" s="15"/>
      <c r="Q22" s="12">
        <f t="shared" ref="Q22:Q27" si="7">+H22+I22+L22+O22</f>
        <v>9777.755666666666</v>
      </c>
      <c r="R22" s="16">
        <f t="shared" ref="R22:R27" si="8">+G22-Q22</f>
        <v>61222.244333333336</v>
      </c>
    </row>
    <row r="23" spans="3:18" x14ac:dyDescent="0.25">
      <c r="C23" s="9">
        <v>15</v>
      </c>
      <c r="D23" s="17" t="s">
        <v>30</v>
      </c>
      <c r="E23" s="11">
        <v>44228</v>
      </c>
      <c r="F23" s="20">
        <v>44409</v>
      </c>
      <c r="G23" s="22">
        <v>71000</v>
      </c>
      <c r="H23" s="13">
        <f>IF(G23&gt;=[1]Datos!$D$14,([1]Datos!$D$14*[1]Datos!$C$14),IF(G23&lt;=[1]Datos!$D$14,(G23*[1]Datos!$C$14)))</f>
        <v>2037.7</v>
      </c>
      <c r="I23" s="14">
        <f>IF(G23&gt;=[1]Datos!$D$15,([1]Datos!$D$15*[1]Datos!$C$15),IF(G23&lt;=[1]Datos!$D$15,(G23*[1]Datos!$C$15)))</f>
        <v>2158.4</v>
      </c>
      <c r="J23" s="15"/>
      <c r="K23" s="12">
        <f t="shared" si="5"/>
        <v>66803.899999999994</v>
      </c>
      <c r="L23" s="12">
        <f>IF(K23&lt;=[1]Datos!$G$7,"0",IF(K23&lt;=[1]Datos!$G$8,(K23-[1]Datos!$F$8)*[1]Datos!$I$6,IF(K23&lt;=[1]Datos!$G$9,[1]Datos!$I$8+(K23-[1]Datos!$F$9)*[1]Datos!$J$6,IF(K23&gt;=[1]Datos!$F$10,([1]Datos!$I$8+[1]Datos!$J$8)+(K23-[1]Datos!$F$10)*[1]Datos!$K$6))))</f>
        <v>5556.6556666666656</v>
      </c>
      <c r="M23" s="15"/>
      <c r="N23" s="15">
        <v>25</v>
      </c>
      <c r="O23" s="15">
        <f t="shared" si="6"/>
        <v>25</v>
      </c>
      <c r="P23" s="15"/>
      <c r="Q23" s="12">
        <f t="shared" si="7"/>
        <v>9777.755666666666</v>
      </c>
      <c r="R23" s="16">
        <f t="shared" si="8"/>
        <v>61222.244333333336</v>
      </c>
    </row>
    <row r="24" spans="3:18" x14ac:dyDescent="0.25">
      <c r="C24" s="9">
        <v>16</v>
      </c>
      <c r="D24" s="19" t="s">
        <v>30</v>
      </c>
      <c r="E24" s="11">
        <v>44228</v>
      </c>
      <c r="F24" s="20">
        <v>44409</v>
      </c>
      <c r="G24" s="22">
        <v>71000</v>
      </c>
      <c r="H24" s="13">
        <f>IF(G24&gt;=[1]Datos!$D$14,([1]Datos!$D$14*[1]Datos!$C$14),IF(G24&lt;=[1]Datos!$D$14,(G24*[1]Datos!$C$14)))</f>
        <v>2037.7</v>
      </c>
      <c r="I24" s="14">
        <f>IF(G24&gt;=[1]Datos!$D$15,([1]Datos!$D$15*[1]Datos!$C$15),IF(G24&lt;=[1]Datos!$D$15,(G24*[1]Datos!$C$15)))</f>
        <v>2158.4</v>
      </c>
      <c r="J24" s="15"/>
      <c r="K24" s="12">
        <f t="shared" si="5"/>
        <v>66803.899999999994</v>
      </c>
      <c r="L24" s="12">
        <f>IF(K24&lt;=[1]Datos!$G$7,"0",IF(K24&lt;=[1]Datos!$G$8,(K24-[1]Datos!$F$8)*[1]Datos!$I$6,IF(K24&lt;=[1]Datos!$G$9,[1]Datos!$I$8+(K24-[1]Datos!$F$9)*[1]Datos!$J$6,IF(K24&gt;=[1]Datos!$F$10,([1]Datos!$I$8+[1]Datos!$J$8)+(K24-[1]Datos!$F$10)*[1]Datos!$K$6))))</f>
        <v>5556.6556666666656</v>
      </c>
      <c r="M24" s="15">
        <v>489.3</v>
      </c>
      <c r="N24" s="15">
        <v>25</v>
      </c>
      <c r="O24" s="15">
        <f t="shared" si="6"/>
        <v>514.29999999999995</v>
      </c>
      <c r="P24" s="15"/>
      <c r="Q24" s="12">
        <f t="shared" si="7"/>
        <v>10267.055666666665</v>
      </c>
      <c r="R24" s="16">
        <f t="shared" si="8"/>
        <v>60732.944333333333</v>
      </c>
    </row>
    <row r="25" spans="3:18" x14ac:dyDescent="0.25">
      <c r="C25" s="9">
        <v>17</v>
      </c>
      <c r="D25" s="19" t="s">
        <v>30</v>
      </c>
      <c r="E25" s="11">
        <v>44256</v>
      </c>
      <c r="F25" s="20">
        <v>44440</v>
      </c>
      <c r="G25" s="22">
        <v>86000</v>
      </c>
      <c r="H25" s="13">
        <f>IF(G25&gt;=[1]Datos!$D$14,([1]Datos!$D$14*[1]Datos!$C$14),IF(G25&lt;=[1]Datos!$D$14,(G25*[1]Datos!$C$14)))</f>
        <v>2468.1999999999998</v>
      </c>
      <c r="I25" s="14">
        <f>IF(G25&gt;=[1]Datos!$D$15,([1]Datos!$D$15*[1]Datos!$C$15),IF(G25&lt;=[1]Datos!$D$15,(G25*[1]Datos!$C$15)))</f>
        <v>2614.4</v>
      </c>
      <c r="J25" s="15"/>
      <c r="K25" s="12">
        <f t="shared" si="5"/>
        <v>80917.399999999994</v>
      </c>
      <c r="L25" s="12">
        <f>IF(K25&lt;=[1]Datos!$G$7,"0",IF(K25&lt;=[1]Datos!$G$8,(K25-[1]Datos!$F$8)*[1]Datos!$I$6,IF(K25&lt;=[1]Datos!$G$9,[1]Datos!$I$8+(K25-[1]Datos!$F$9)*[1]Datos!$J$6,IF(K25&gt;=[1]Datos!$F$10,([1]Datos!$I$8+[1]Datos!$J$8)+(K25-[1]Datos!$F$10)*[1]Datos!$K$6))))</f>
        <v>8812.2106666666659</v>
      </c>
      <c r="M25" s="15"/>
      <c r="N25" s="15">
        <v>25</v>
      </c>
      <c r="O25" s="15">
        <f t="shared" si="6"/>
        <v>25</v>
      </c>
      <c r="P25" s="15"/>
      <c r="Q25" s="12">
        <f t="shared" si="7"/>
        <v>13919.810666666666</v>
      </c>
      <c r="R25" s="16">
        <f t="shared" si="8"/>
        <v>72080.189333333328</v>
      </c>
    </row>
    <row r="26" spans="3:18" x14ac:dyDescent="0.25">
      <c r="C26" s="9">
        <v>18</v>
      </c>
      <c r="D26" s="24" t="s">
        <v>30</v>
      </c>
      <c r="E26" s="11">
        <v>44256</v>
      </c>
      <c r="F26" s="20">
        <v>44440</v>
      </c>
      <c r="G26" s="22">
        <v>86000</v>
      </c>
      <c r="H26" s="13">
        <f>IF(G26&gt;=[1]Datos!$D$14,([1]Datos!$D$14*[1]Datos!$C$14),IF(G26&lt;=[1]Datos!$D$14,(G26*[1]Datos!$C$14)))</f>
        <v>2468.1999999999998</v>
      </c>
      <c r="I26" s="14">
        <f>IF(G26&gt;=[1]Datos!$D$15,([1]Datos!$D$15*[1]Datos!$C$15),IF(G26&lt;=[1]Datos!$D$15,(G26*[1]Datos!$C$15)))</f>
        <v>2614.4</v>
      </c>
      <c r="J26" s="15"/>
      <c r="K26" s="12">
        <f t="shared" si="5"/>
        <v>80917.399999999994</v>
      </c>
      <c r="L26" s="12">
        <f>IF(K26&lt;=[1]Datos!$G$7,"0",IF(K26&lt;=[1]Datos!$G$8,(K26-[1]Datos!$F$8)*[1]Datos!$I$6,IF(K26&lt;=[1]Datos!$G$9,[1]Datos!$I$8+(K26-[1]Datos!$F$9)*[1]Datos!$J$6,IF(K26&gt;=[1]Datos!$F$10,([1]Datos!$I$8+[1]Datos!$J$8)+(K26-[1]Datos!$F$10)*[1]Datos!$K$6))))</f>
        <v>8812.2106666666659</v>
      </c>
      <c r="M26" s="15">
        <v>1957.2</v>
      </c>
      <c r="N26" s="15">
        <v>25</v>
      </c>
      <c r="O26" s="15">
        <f t="shared" si="6"/>
        <v>1982.2</v>
      </c>
      <c r="P26" s="15"/>
      <c r="Q26" s="12">
        <f t="shared" si="7"/>
        <v>15877.010666666667</v>
      </c>
      <c r="R26" s="16">
        <f t="shared" si="8"/>
        <v>70122.989333333331</v>
      </c>
    </row>
    <row r="27" spans="3:18" x14ac:dyDescent="0.25">
      <c r="C27" s="9">
        <v>19</v>
      </c>
      <c r="D27" s="24" t="s">
        <v>30</v>
      </c>
      <c r="E27" s="11">
        <v>44256</v>
      </c>
      <c r="F27" s="20">
        <v>44440</v>
      </c>
      <c r="G27" s="22">
        <v>86000</v>
      </c>
      <c r="H27" s="13">
        <f>IF(G27&gt;=[1]Datos!$D$14,([1]Datos!$D$14*[1]Datos!$C$14),IF(G27&lt;=[1]Datos!$D$14,(G27*[1]Datos!$C$14)))</f>
        <v>2468.1999999999998</v>
      </c>
      <c r="I27" s="14">
        <f>IF(G27&gt;=[1]Datos!$D$15,([1]Datos!$D$15*[1]Datos!$C$15),IF(G27&lt;=[1]Datos!$D$15,(G27*[1]Datos!$C$15)))</f>
        <v>2614.4</v>
      </c>
      <c r="J27" s="15"/>
      <c r="K27" s="12">
        <f t="shared" si="5"/>
        <v>80917.399999999994</v>
      </c>
      <c r="L27" s="12">
        <f>IF(K27&lt;=[1]Datos!$G$7,"0",IF(K27&lt;=[1]Datos!$G$8,(K27-[1]Datos!$F$8)*[1]Datos!$I$6,IF(K27&lt;=[1]Datos!$G$9,[1]Datos!$I$8+(K27-[1]Datos!$F$9)*[1]Datos!$J$6,IF(K27&gt;=[1]Datos!$F$10,([1]Datos!$I$8+[1]Datos!$J$8)+(K27-[1]Datos!$F$10)*[1]Datos!$K$6))))</f>
        <v>8812.2106666666659</v>
      </c>
      <c r="M27" s="15"/>
      <c r="N27" s="15">
        <v>25</v>
      </c>
      <c r="O27" s="15">
        <f t="shared" si="6"/>
        <v>25</v>
      </c>
      <c r="P27" s="15"/>
      <c r="Q27" s="12">
        <f t="shared" si="7"/>
        <v>13919.810666666666</v>
      </c>
      <c r="R27" s="16">
        <f t="shared" si="8"/>
        <v>72080.189333333328</v>
      </c>
    </row>
    <row r="28" spans="3:18" ht="16.5" thickBot="1" x14ac:dyDescent="0.3">
      <c r="C28" s="25">
        <v>20</v>
      </c>
      <c r="D28" s="26" t="s">
        <v>31</v>
      </c>
      <c r="E28" s="27">
        <v>44228</v>
      </c>
      <c r="F28" s="28">
        <v>44409</v>
      </c>
      <c r="G28" s="29">
        <v>140000</v>
      </c>
      <c r="H28" s="30">
        <f>IF(G28&gt;=[1]Datos!$D$14,([1]Datos!$D$14*[1]Datos!$C$14),IF(G28&lt;=[1]Datos!$D$14,(G28*[1]Datos!$C$14)))</f>
        <v>4018</v>
      </c>
      <c r="I28" s="31">
        <f>IF(G28&gt;=[1]Datos!$D$15,([1]Datos!$D$15*[1]Datos!$C$15),IF(G28&lt;=[1]Datos!$D$15,(G28*[1]Datos!$C$15)))</f>
        <v>4098.5280000000002</v>
      </c>
      <c r="J28" s="32"/>
      <c r="K28" s="33">
        <f>+G28-(H28+I28+J28)</f>
        <v>131883.47200000001</v>
      </c>
      <c r="L28" s="33">
        <f>IF(K28&lt;=[1]Datos!$G$7,"0",IF(K28&lt;=[1]Datos!$G$8,(K28-[1]Datos!$F$8)*[1]Datos!$I$6,IF(K28&lt;=[1]Datos!$G$9,[1]Datos!$I$8+(K28-[1]Datos!$F$9)*[1]Datos!$J$6,IF(K28&gt;=[1]Datos!$F$10,([1]Datos!$I$8+[1]Datos!$J$8)+(K28-[1]Datos!$F$10)*[1]Datos!$K$6))))</f>
        <v>21553.72866666667</v>
      </c>
      <c r="M28" s="32"/>
      <c r="N28" s="32">
        <v>25</v>
      </c>
      <c r="O28" s="32">
        <f>+J28+M28+N28</f>
        <v>25</v>
      </c>
      <c r="P28" s="32"/>
      <c r="Q28" s="33">
        <f>+H28+I28+L28+O28</f>
        <v>29695.256666666668</v>
      </c>
      <c r="R28" s="34">
        <f>+G28-Q28</f>
        <v>110304.74333333333</v>
      </c>
    </row>
    <row r="29" spans="3:18" ht="16.5" thickBot="1" x14ac:dyDescent="0.3">
      <c r="C29" s="35" t="s">
        <v>32</v>
      </c>
      <c r="D29" s="36"/>
      <c r="E29" s="36"/>
      <c r="F29" s="37"/>
      <c r="G29" s="38">
        <f t="shared" ref="G29:R29" si="9">SUM(G9:G28)</f>
        <v>1788000</v>
      </c>
      <c r="H29" s="39">
        <f t="shared" si="9"/>
        <v>51315.599999999977</v>
      </c>
      <c r="I29" s="40">
        <f t="shared" si="9"/>
        <v>52351.840000000011</v>
      </c>
      <c r="J29" s="39">
        <f t="shared" si="9"/>
        <v>3570.3599999999997</v>
      </c>
      <c r="K29" s="40">
        <f t="shared" si="9"/>
        <v>1680762.1999999995</v>
      </c>
      <c r="L29" s="39">
        <f t="shared" si="9"/>
        <v>203727.93650000001</v>
      </c>
      <c r="M29" s="41">
        <f t="shared" si="9"/>
        <v>18681.520000000004</v>
      </c>
      <c r="N29" s="42">
        <f t="shared" si="9"/>
        <v>500</v>
      </c>
      <c r="O29" s="41">
        <f t="shared" si="9"/>
        <v>22751.879999999997</v>
      </c>
      <c r="P29" s="42">
        <f t="shared" si="9"/>
        <v>22193.602166666664</v>
      </c>
      <c r="Q29" s="39">
        <f t="shared" si="9"/>
        <v>307953.65433333331</v>
      </c>
      <c r="R29" s="43">
        <f t="shared" si="9"/>
        <v>1480046.345666667</v>
      </c>
    </row>
    <row r="30" spans="3:18" x14ac:dyDescent="0.25">
      <c r="C30" s="44"/>
      <c r="D30" s="44"/>
      <c r="E30" s="44"/>
      <c r="F30" s="44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5"/>
      <c r="R30" s="45"/>
    </row>
    <row r="31" spans="3:18" x14ac:dyDescent="0.25">
      <c r="C31" s="44"/>
      <c r="D31" s="44"/>
      <c r="E31" s="44"/>
      <c r="F31" s="44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5"/>
      <c r="R31" s="47"/>
    </row>
    <row r="32" spans="3:18" x14ac:dyDescent="0.25">
      <c r="G32" s="49"/>
    </row>
    <row r="33" spans="4:15" x14ac:dyDescent="0.25">
      <c r="G33" s="49"/>
    </row>
    <row r="34" spans="4:15" x14ac:dyDescent="0.25">
      <c r="D34" s="50"/>
      <c r="J34" s="50"/>
      <c r="O34" s="50"/>
    </row>
    <row r="35" spans="4:15" x14ac:dyDescent="0.25">
      <c r="E35" s="49"/>
    </row>
    <row r="36" spans="4:15" x14ac:dyDescent="0.25">
      <c r="G36" s="49"/>
    </row>
    <row r="37" spans="4:15" x14ac:dyDescent="0.25">
      <c r="G37" s="49"/>
    </row>
    <row r="38" spans="4:15" x14ac:dyDescent="0.25">
      <c r="D38" s="51"/>
      <c r="G38" s="49"/>
    </row>
    <row r="39" spans="4:15" x14ac:dyDescent="0.25">
      <c r="G39" s="49"/>
    </row>
  </sheetData>
  <mergeCells count="3">
    <mergeCell ref="C4:R4"/>
    <mergeCell ref="C5:R5"/>
    <mergeCell ref="C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2021-10-08T18:39:35Z</dcterms:created>
  <dcterms:modified xsi:type="dcterms:W3CDTF">2021-10-08T18:40:17Z</dcterms:modified>
</cp:coreProperties>
</file>