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castillo\Desktop\Talleres\"/>
    </mc:Choice>
  </mc:AlternateContent>
  <bookViews>
    <workbookView xWindow="-120" yWindow="-120" windowWidth="29040" windowHeight="15840"/>
  </bookViews>
  <sheets>
    <sheet name="Contratado" sheetId="2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3" i="2" l="1"/>
  <c r="N33" i="2"/>
  <c r="H33" i="2"/>
  <c r="G33" i="2"/>
  <c r="J33" i="2" s="1"/>
  <c r="K33" i="2" s="1"/>
  <c r="N21" i="2" l="1"/>
  <c r="N35" i="2" l="1"/>
  <c r="H35" i="2"/>
  <c r="G35" i="2"/>
  <c r="N34" i="2"/>
  <c r="H34" i="2"/>
  <c r="G34" i="2"/>
  <c r="J22" i="2"/>
  <c r="H21" i="2"/>
  <c r="G21" i="2"/>
  <c r="Q20" i="2"/>
  <c r="N20" i="2"/>
  <c r="J20" i="2"/>
  <c r="Q19" i="2"/>
  <c r="N19" i="2"/>
  <c r="H19" i="2"/>
  <c r="G19" i="2"/>
  <c r="N18" i="2"/>
  <c r="H18" i="2"/>
  <c r="G18" i="2"/>
  <c r="N17" i="2"/>
  <c r="H17" i="2"/>
  <c r="G17" i="2"/>
  <c r="N16" i="2"/>
  <c r="G16" i="2"/>
  <c r="J16" i="2" s="1"/>
  <c r="J15" i="2"/>
  <c r="Q14" i="2"/>
  <c r="N14" i="2"/>
  <c r="H14" i="2"/>
  <c r="G14" i="2"/>
  <c r="Q13" i="2"/>
  <c r="N13" i="2"/>
  <c r="H13" i="2"/>
  <c r="G13" i="2"/>
  <c r="Q11" i="2"/>
  <c r="N11" i="2"/>
  <c r="H11" i="2"/>
  <c r="G11" i="2"/>
  <c r="Q9" i="2"/>
  <c r="N9" i="2"/>
  <c r="H9" i="2"/>
  <c r="G9" i="2"/>
  <c r="J9" i="2" l="1"/>
  <c r="J13" i="2"/>
  <c r="K13" i="2" s="1"/>
  <c r="P21" i="2"/>
  <c r="Q21" i="2" s="1"/>
  <c r="J35" i="2"/>
  <c r="K35" i="2" s="1"/>
  <c r="P35" i="2" s="1"/>
  <c r="Q35" i="2" s="1"/>
  <c r="J17" i="2"/>
  <c r="K17" i="2" s="1"/>
  <c r="P17" i="2" s="1"/>
  <c r="Q17" i="2" s="1"/>
  <c r="J19" i="2"/>
  <c r="K19" i="2" s="1"/>
  <c r="J34" i="2"/>
  <c r="K34" i="2" s="1"/>
  <c r="P34" i="2" s="1"/>
  <c r="Q34" i="2" s="1"/>
  <c r="P16" i="2"/>
  <c r="Q16" i="2" s="1"/>
  <c r="J21" i="2"/>
  <c r="J14" i="2"/>
  <c r="K14" i="2" s="1"/>
  <c r="J11" i="2"/>
  <c r="J18" i="2"/>
  <c r="K18" i="2" s="1"/>
  <c r="P18" i="2" s="1"/>
  <c r="Q18" i="2" s="1"/>
  <c r="F39" i="2"/>
  <c r="I39" i="2"/>
  <c r="M39" i="2"/>
  <c r="O39" i="2"/>
  <c r="N39" i="2" l="1"/>
  <c r="H39" i="2"/>
  <c r="J39" i="2" l="1"/>
  <c r="P39" i="2"/>
  <c r="Q39" i="2"/>
</calcChain>
</file>

<file path=xl/sharedStrings.xml><?xml version="1.0" encoding="utf-8"?>
<sst xmlns="http://schemas.openxmlformats.org/spreadsheetml/2006/main" count="84" uniqueCount="46">
  <si>
    <t>Enc. Administrativo y Financiero</t>
  </si>
  <si>
    <t>Revisado Por:</t>
  </si>
  <si>
    <t>Aprobado Por:</t>
  </si>
  <si>
    <t>Total General RD$</t>
  </si>
  <si>
    <t>Asistente del Despacho</t>
  </si>
  <si>
    <t xml:space="preserve">Analista </t>
  </si>
  <si>
    <t xml:space="preserve">Enc. de C. y Archivo Central </t>
  </si>
  <si>
    <t>Enc. Dpto. Coord. N.</t>
  </si>
  <si>
    <t xml:space="preserve">Director de Analisis </t>
  </si>
  <si>
    <t>Soporte Técnico Informático</t>
  </si>
  <si>
    <t>Soporte Mesa De Ayuda</t>
  </si>
  <si>
    <t>Enc. Depto. TIC</t>
  </si>
  <si>
    <t>Enc. de Servicios Generales</t>
  </si>
  <si>
    <t>Enc. De Compras Y Cont.</t>
  </si>
  <si>
    <t>Analista de Presupuesto</t>
  </si>
  <si>
    <t>Enc. De Comunicaciones</t>
  </si>
  <si>
    <t>Salario a Pagar</t>
  </si>
  <si>
    <t>Total Descuentos</t>
  </si>
  <si>
    <t xml:space="preserve">Devolución de Gastos Educativos </t>
  </si>
  <si>
    <t>Total Otros Descuentos</t>
  </si>
  <si>
    <t xml:space="preserve">Otros Descuentos </t>
  </si>
  <si>
    <t>Seguro Complementario</t>
  </si>
  <si>
    <t>ISR</t>
  </si>
  <si>
    <t>Salario Neto para Calculo del ISR</t>
  </si>
  <si>
    <t xml:space="preserve">Dependiente Adicional </t>
  </si>
  <si>
    <t>SFS</t>
  </si>
  <si>
    <t>AFP</t>
  </si>
  <si>
    <t xml:space="preserve">Sueldo Bruto </t>
  </si>
  <si>
    <t>Cargos</t>
  </si>
  <si>
    <t>No.</t>
  </si>
  <si>
    <t>Unidad de Análisis Financiero</t>
  </si>
  <si>
    <t>Analista</t>
  </si>
  <si>
    <t>Ana Yapor de Díaz</t>
  </si>
  <si>
    <t>Sexo</t>
  </si>
  <si>
    <t>M</t>
  </si>
  <si>
    <t>F</t>
  </si>
  <si>
    <t>Carlos Castellanos</t>
  </si>
  <si>
    <t xml:space="preserve">Enc. División de Contabilidad </t>
  </si>
  <si>
    <t xml:space="preserve">Encargada Adm. Y Financiero </t>
  </si>
  <si>
    <t xml:space="preserve">Encargada Prevencion </t>
  </si>
  <si>
    <t xml:space="preserve">Encargado Contabilidad </t>
  </si>
  <si>
    <t xml:space="preserve">Encargado Planificacion </t>
  </si>
  <si>
    <t>Nómina Empleados Temporales Febrero 2022</t>
  </si>
  <si>
    <t xml:space="preserve">Enc. Juridico </t>
  </si>
  <si>
    <t xml:space="preserve">Coordinadora Analisis </t>
  </si>
  <si>
    <t xml:space="preserve">Analista Legal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</si>
</sst>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u/>
      <sz val="12"/>
      <color theme="1"/>
      <name val="Calibri Light"/>
      <family val="2"/>
    </font>
    <font>
      <b/>
      <sz val="7"/>
      <color theme="1"/>
      <name val="Calibri Light"/>
      <family val="2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  <font>
      <sz val="12"/>
      <color rgb="FF000000"/>
      <name val="Calibri Light"/>
      <family val="2"/>
    </font>
    <font>
      <b/>
      <sz val="12"/>
      <color theme="0"/>
      <name val="Calibri Light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3" fontId="2" fillId="0" borderId="0" xfId="0" applyNumberFormat="1" applyFont="1"/>
    <xf numFmtId="0" fontId="3" fillId="0" borderId="0" xfId="0" applyFont="1"/>
    <xf numFmtId="0" fontId="4" fillId="0" borderId="0" xfId="0" applyFont="1"/>
    <xf numFmtId="43" fontId="5" fillId="0" borderId="0" xfId="0" applyNumberFormat="1" applyFont="1" applyAlignment="1">
      <alignment vertical="center"/>
    </xf>
    <xf numFmtId="43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3" fontId="6" fillId="0" borderId="1" xfId="0" applyNumberFormat="1" applyFont="1" applyBorder="1" applyAlignment="1">
      <alignment vertical="center"/>
    </xf>
    <xf numFmtId="43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43" fontId="3" fillId="0" borderId="2" xfId="0" applyNumberFormat="1" applyFont="1" applyBorder="1" applyAlignment="1">
      <alignment vertical="center"/>
    </xf>
    <xf numFmtId="43" fontId="3" fillId="0" borderId="3" xfId="0" applyNumberFormat="1" applyFont="1" applyBorder="1" applyAlignment="1">
      <alignment vertical="center"/>
    </xf>
    <xf numFmtId="43" fontId="7" fillId="0" borderId="4" xfId="1" applyFont="1" applyFill="1" applyBorder="1" applyAlignment="1">
      <alignment horizontal="right" vertical="center"/>
    </xf>
    <xf numFmtId="43" fontId="2" fillId="0" borderId="4" xfId="1" applyFont="1" applyBorder="1" applyAlignment="1">
      <alignment horizontal="right" vertical="center"/>
    </xf>
    <xf numFmtId="4" fontId="2" fillId="0" borderId="4" xfId="1" applyNumberFormat="1" applyFont="1" applyFill="1" applyBorder="1" applyAlignment="1">
      <alignment horizontal="right" vertical="center"/>
    </xf>
    <xf numFmtId="43" fontId="2" fillId="0" borderId="4" xfId="1" applyFont="1" applyBorder="1" applyAlignment="1">
      <alignment vertical="center"/>
    </xf>
    <xf numFmtId="43" fontId="2" fillId="0" borderId="4" xfId="1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43" fontId="2" fillId="0" borderId="4" xfId="1" applyFont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43" fontId="2" fillId="0" borderId="5" xfId="1" applyFont="1" applyBorder="1" applyAlignment="1">
      <alignment horizontal="right" vertical="center"/>
    </xf>
    <xf numFmtId="4" fontId="2" fillId="0" borderId="5" xfId="1" applyNumberFormat="1" applyFont="1" applyFill="1" applyBorder="1" applyAlignment="1">
      <alignment horizontal="right" vertical="center"/>
    </xf>
    <xf numFmtId="43" fontId="2" fillId="0" borderId="5" xfId="1" applyFont="1" applyBorder="1" applyAlignment="1">
      <alignment vertical="center"/>
    </xf>
    <xf numFmtId="43" fontId="2" fillId="0" borderId="5" xfId="1" applyFont="1" applyFill="1" applyBorder="1" applyAlignment="1">
      <alignment vertical="center"/>
    </xf>
    <xf numFmtId="43" fontId="2" fillId="0" borderId="5" xfId="1" applyFont="1" applyBorder="1" applyAlignment="1">
      <alignment horizontal="center"/>
    </xf>
    <xf numFmtId="43" fontId="2" fillId="0" borderId="4" xfId="1" applyFont="1" applyFill="1" applyBorder="1" applyAlignment="1">
      <alignment horizontal="right" vertical="center"/>
    </xf>
    <xf numFmtId="43" fontId="2" fillId="0" borderId="4" xfId="1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4" fontId="2" fillId="0" borderId="4" xfId="1" applyNumberFormat="1" applyFont="1" applyBorder="1" applyAlignment="1">
      <alignment horizontal="right" vertical="center"/>
    </xf>
    <xf numFmtId="0" fontId="8" fillId="2" borderId="4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center" wrapText="1"/>
    </xf>
    <xf numFmtId="17" fontId="3" fillId="0" borderId="6" xfId="0" applyNumberFormat="1" applyFont="1" applyBorder="1" applyAlignment="1">
      <alignment horizontal="center"/>
    </xf>
    <xf numFmtId="43" fontId="3" fillId="0" borderId="6" xfId="1" applyFont="1" applyBorder="1" applyAlignment="1">
      <alignment horizontal="center"/>
    </xf>
    <xf numFmtId="17" fontId="3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43" fontId="2" fillId="0" borderId="4" xfId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857249</xdr:colOff>
      <xdr:row>0</xdr:row>
      <xdr:rowOff>0</xdr:rowOff>
    </xdr:from>
    <xdr:ext cx="1914525" cy="666750"/>
    <xdr:pic>
      <xdr:nvPicPr>
        <xdr:cNvPr id="2" name="Imagen 1">
          <a:extLst>
            <a:ext uri="{FF2B5EF4-FFF2-40B4-BE49-F238E27FC236}">
              <a16:creationId xmlns:a16="http://schemas.microsoft.com/office/drawing/2014/main" id="{AEC114AF-3EAF-45F6-9A9E-7EE8432233F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99" y="0"/>
          <a:ext cx="1914525" cy="666750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UAF\RRHH\Documentos%20RRHH\RR.HH%202020\Nomina\Nomina%20OAI\Copia%20de%20Planilla%20Calculo%20de%20la%20Nomina%20Agosto%202021%60,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Novedades"/>
      <sheetName val="Fija"/>
      <sheetName val="Contratado."/>
      <sheetName val="Probatoria"/>
      <sheetName val="Seguridad"/>
      <sheetName val="Fijos cargos de carrera"/>
      <sheetName val="Caracter eventual"/>
      <sheetName val="Retroactivo caracter temporal p"/>
    </sheetNames>
    <sheetDataSet>
      <sheetData sheetId="0" refreshError="1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  <row r="14">
          <cell r="C14">
            <v>2.87E-2</v>
          </cell>
          <cell r="D14">
            <v>312000</v>
          </cell>
        </row>
        <row r="15">
          <cell r="C15">
            <v>3.04E-2</v>
          </cell>
          <cell r="D15">
            <v>156000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Q51"/>
  <sheetViews>
    <sheetView tabSelected="1" view="pageBreakPreview" topLeftCell="A20" zoomScale="60" zoomScaleNormal="100" workbookViewId="0">
      <selection activeCell="P46" sqref="P46"/>
    </sheetView>
  </sheetViews>
  <sheetFormatPr baseColWidth="10" defaultColWidth="11.42578125" defaultRowHeight="15.75" x14ac:dyDescent="0.25"/>
  <cols>
    <col min="1" max="1" width="4" customWidth="1"/>
    <col min="2" max="2" width="4.85546875" customWidth="1"/>
    <col min="3" max="3" width="4.5703125" style="2" customWidth="1"/>
    <col min="4" max="4" width="28.28515625" style="1" customWidth="1"/>
    <col min="5" max="5" width="12.7109375" style="1" customWidth="1"/>
    <col min="6" max="6" width="22.28515625" style="1" bestFit="1" customWidth="1"/>
    <col min="7" max="8" width="17.7109375" style="1" bestFit="1" customWidth="1"/>
    <col min="9" max="9" width="19.140625" style="1" bestFit="1" customWidth="1"/>
    <col min="10" max="10" width="25.42578125" style="1" bestFit="1" customWidth="1"/>
    <col min="11" max="11" width="19" style="1" bestFit="1" customWidth="1"/>
    <col min="12" max="12" width="18.7109375" style="1" customWidth="1"/>
    <col min="13" max="13" width="13.7109375" style="1" customWidth="1"/>
    <col min="14" max="14" width="25.5703125" style="1" customWidth="1"/>
    <col min="15" max="15" width="16.85546875" style="1" bestFit="1" customWidth="1"/>
    <col min="16" max="16" width="18.42578125" style="1" bestFit="1" customWidth="1"/>
    <col min="17" max="17" width="22.140625" style="1" customWidth="1"/>
  </cols>
  <sheetData>
    <row r="4" spans="3:17" ht="18.75" x14ac:dyDescent="0.3">
      <c r="C4" s="48" t="s">
        <v>30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3:17" ht="18.75" x14ac:dyDescent="0.3">
      <c r="C5" s="48" t="s">
        <v>42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3:17" ht="18.75" x14ac:dyDescent="0.3">
      <c r="C6" s="40"/>
      <c r="D6" s="40"/>
      <c r="E6" s="41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3:17" x14ac:dyDescent="0.25">
      <c r="D7" s="39"/>
      <c r="E7" s="39"/>
      <c r="F7" s="37"/>
      <c r="G7" s="39"/>
      <c r="H7" s="39"/>
      <c r="I7" s="39"/>
      <c r="J7" s="39"/>
      <c r="K7" s="37"/>
      <c r="L7" s="37"/>
      <c r="M7" s="38"/>
      <c r="N7" s="38"/>
      <c r="O7" s="38"/>
      <c r="P7" s="37"/>
      <c r="Q7" s="37"/>
    </row>
    <row r="8" spans="3:17" ht="57" customHeight="1" x14ac:dyDescent="0.25">
      <c r="C8" s="36" t="s">
        <v>29</v>
      </c>
      <c r="D8" s="36" t="s">
        <v>28</v>
      </c>
      <c r="E8" s="36" t="s">
        <v>33</v>
      </c>
      <c r="F8" s="36" t="s">
        <v>27</v>
      </c>
      <c r="G8" s="36" t="s">
        <v>26</v>
      </c>
      <c r="H8" s="36" t="s">
        <v>25</v>
      </c>
      <c r="I8" s="36" t="s">
        <v>24</v>
      </c>
      <c r="J8" s="36" t="s">
        <v>23</v>
      </c>
      <c r="K8" s="36" t="s">
        <v>22</v>
      </c>
      <c r="L8" s="36" t="s">
        <v>21</v>
      </c>
      <c r="M8" s="36" t="s">
        <v>20</v>
      </c>
      <c r="N8" s="36" t="s">
        <v>19</v>
      </c>
      <c r="O8" s="36" t="s">
        <v>18</v>
      </c>
      <c r="P8" s="36" t="s">
        <v>17</v>
      </c>
      <c r="Q8" s="36" t="s">
        <v>16</v>
      </c>
    </row>
    <row r="9" spans="3:17" x14ac:dyDescent="0.25">
      <c r="C9" s="22">
        <v>1</v>
      </c>
      <c r="D9" s="33" t="s">
        <v>8</v>
      </c>
      <c r="E9" s="42" t="s">
        <v>34</v>
      </c>
      <c r="F9" s="30">
        <v>165000</v>
      </c>
      <c r="G9" s="20">
        <f>IF(F9&gt;=[1]Datos!$D$14,([1]Datos!$D$14*[1]Datos!$C$14),IF(F9&lt;=[1]Datos!$D$14,(F9*[1]Datos!$C$14)))</f>
        <v>4735.5</v>
      </c>
      <c r="H9" s="19">
        <f>IF(F9&gt;=[1]Datos!$D$15,([1]Datos!$D$15*[1]Datos!$C$15),IF(F9&lt;=[1]Datos!$D$15,(F9*[1]Datos!$C$15)))</f>
        <v>4098.5280000000002</v>
      </c>
      <c r="I9" s="18"/>
      <c r="J9" s="17">
        <f t="shared" ref="J9:J14" si="0">+F9-(G9+H9+I9)</f>
        <v>156165.97200000001</v>
      </c>
      <c r="K9" s="17">
        <v>27463.39</v>
      </c>
      <c r="L9" s="18"/>
      <c r="M9" s="18">
        <v>25</v>
      </c>
      <c r="N9" s="18">
        <f t="shared" ref="N9:N14" si="1">+I9+L9+M9</f>
        <v>25</v>
      </c>
      <c r="O9" s="18"/>
      <c r="P9" s="17">
        <v>36966.29</v>
      </c>
      <c r="Q9" s="16">
        <f t="shared" ref="Q9:Q14" si="2">+F9-P9</f>
        <v>128033.70999999999</v>
      </c>
    </row>
    <row r="10" spans="3:17" x14ac:dyDescent="0.25">
      <c r="C10" s="22">
        <v>2</v>
      </c>
      <c r="D10" s="21" t="s">
        <v>38</v>
      </c>
      <c r="E10" s="43" t="s">
        <v>35</v>
      </c>
      <c r="F10" s="17">
        <v>150000</v>
      </c>
      <c r="G10" s="20">
        <v>4305</v>
      </c>
      <c r="H10" s="19">
        <v>4256</v>
      </c>
      <c r="I10" s="17"/>
      <c r="J10" s="17">
        <v>141135</v>
      </c>
      <c r="K10" s="17">
        <v>23866.61</v>
      </c>
      <c r="L10" s="18"/>
      <c r="M10" s="18"/>
      <c r="N10" s="18"/>
      <c r="O10" s="18"/>
      <c r="P10" s="17">
        <v>32756.61</v>
      </c>
      <c r="Q10" s="16">
        <v>117243.39</v>
      </c>
    </row>
    <row r="11" spans="3:17" x14ac:dyDescent="0.25">
      <c r="C11" s="22">
        <v>3</v>
      </c>
      <c r="D11" s="32" t="s">
        <v>11</v>
      </c>
      <c r="E11" s="43" t="s">
        <v>34</v>
      </c>
      <c r="F11" s="17">
        <v>150000</v>
      </c>
      <c r="G11" s="20">
        <f>IF(F11&gt;=[1]Datos!$D$14,([1]Datos!$D$14*[1]Datos!$C$14),IF(F11&lt;=[1]Datos!$D$14,(F11*[1]Datos!$C$14)))</f>
        <v>4305</v>
      </c>
      <c r="H11" s="19">
        <f>IF(F11&gt;=[1]Datos!$D$15,([1]Datos!$D$15*[1]Datos!$C$15),IF(F11&lt;=[1]Datos!$D$15,(F11*[1]Datos!$C$15)))</f>
        <v>4098.5280000000002</v>
      </c>
      <c r="I11" s="34"/>
      <c r="J11" s="17">
        <f t="shared" ref="J11:J13" si="3">+F11-(G11+H11+I11)</f>
        <v>141596.47200000001</v>
      </c>
      <c r="K11" s="17">
        <v>23866.62</v>
      </c>
      <c r="L11" s="18">
        <v>2049.04</v>
      </c>
      <c r="M11" s="18">
        <v>25</v>
      </c>
      <c r="N11" s="18">
        <f t="shared" ref="N11:N13" si="4">+I11+L11+M11</f>
        <v>2074.04</v>
      </c>
      <c r="O11" s="18"/>
      <c r="P11" s="17">
        <v>34805.660000000003</v>
      </c>
      <c r="Q11" s="16">
        <f t="shared" ref="Q11:Q13" si="5">+F11-P11</f>
        <v>115194.34</v>
      </c>
    </row>
    <row r="12" spans="3:17" x14ac:dyDescent="0.25">
      <c r="C12" s="22">
        <v>4</v>
      </c>
      <c r="D12" s="32" t="s">
        <v>43</v>
      </c>
      <c r="E12" s="43" t="s">
        <v>35</v>
      </c>
      <c r="F12" s="17">
        <v>150000</v>
      </c>
      <c r="G12" s="20">
        <v>4305</v>
      </c>
      <c r="H12" s="19">
        <v>4256</v>
      </c>
      <c r="I12" s="34"/>
      <c r="J12" s="17">
        <v>141135</v>
      </c>
      <c r="K12" s="17">
        <v>23866.61</v>
      </c>
      <c r="L12" s="18"/>
      <c r="M12" s="18"/>
      <c r="N12" s="18"/>
      <c r="O12" s="18"/>
      <c r="P12" s="17">
        <v>32756.61</v>
      </c>
      <c r="Q12" s="16">
        <v>117243.39</v>
      </c>
    </row>
    <row r="13" spans="3:17" x14ac:dyDescent="0.25">
      <c r="C13" s="22">
        <v>5</v>
      </c>
      <c r="D13" s="31" t="s">
        <v>41</v>
      </c>
      <c r="E13" s="43" t="s">
        <v>35</v>
      </c>
      <c r="F13" s="17">
        <v>150000</v>
      </c>
      <c r="G13" s="20">
        <f>IF(F13&gt;=[2]Datos!$D$14,([2]Datos!$D$14*[2]Datos!$C$14),IF(F13&lt;=[2]Datos!$D$14,(F13*[2]Datos!$C$14)))</f>
        <v>4305</v>
      </c>
      <c r="H13" s="19">
        <f>IF(F13&gt;=[2]Datos!$D$15,([2]Datos!$D$15*[2]Datos!$C$15),IF(F13&lt;=[2]Datos!$D$15,(F13*[2]Datos!$C$15)))</f>
        <v>4560</v>
      </c>
      <c r="I13" s="17"/>
      <c r="J13" s="17">
        <f t="shared" si="3"/>
        <v>141135</v>
      </c>
      <c r="K13" s="17">
        <f>IF(J13&lt;=[2]Datos!$G$7,"0",IF(J13&lt;=[2]Datos!$G$8,(J13-[2]Datos!$F$8)*[2]Datos!$I$6,IF(J13&lt;=[2]Datos!$G$9,[2]Datos!$I$8+(J13-[2]Datos!$F$9)*[2]Datos!$J$6,IF(J13&gt;=[2]Datos!$F$10,([2]Datos!$I$8+[2]Datos!$J$8)+(J13-[2]Datos!$F$10)*[2]Datos!$K$6))))</f>
        <v>23866.610666666667</v>
      </c>
      <c r="L13" s="18">
        <v>3733.1660000000002</v>
      </c>
      <c r="M13" s="18">
        <v>25</v>
      </c>
      <c r="N13" s="18">
        <f t="shared" si="4"/>
        <v>3758.1660000000002</v>
      </c>
      <c r="O13" s="18"/>
      <c r="P13" s="17">
        <v>36489.79</v>
      </c>
      <c r="Q13" s="30">
        <f t="shared" si="5"/>
        <v>113510.20999999999</v>
      </c>
    </row>
    <row r="14" spans="3:17" x14ac:dyDescent="0.25">
      <c r="C14" s="22">
        <v>6</v>
      </c>
      <c r="D14" s="21" t="s">
        <v>7</v>
      </c>
      <c r="E14" s="43" t="s">
        <v>35</v>
      </c>
      <c r="F14" s="29">
        <v>140000</v>
      </c>
      <c r="G14" s="28">
        <f>IF(F14&gt;=[1]Datos!$D$14,([1]Datos!$D$14*[1]Datos!$C$14),IF(F14&lt;=[1]Datos!$D$14,(F14*[1]Datos!$C$14)))</f>
        <v>4018</v>
      </c>
      <c r="H14" s="27">
        <f>IF(F14&gt;=[1]Datos!$D$15,([1]Datos!$D$15*[1]Datos!$C$15),IF(F14&lt;=[1]Datos!$D$15,(F14*[1]Datos!$C$15)))</f>
        <v>4098.5280000000002</v>
      </c>
      <c r="I14" s="26"/>
      <c r="J14" s="25">
        <f t="shared" si="0"/>
        <v>131883.47200000001</v>
      </c>
      <c r="K14" s="25">
        <f>IF(J14&lt;=[1]Datos!$G$7,"0",IF(J14&lt;=[1]Datos!$G$8,(J14-[1]Datos!$F$8)*[1]Datos!$I$6,IF(J14&lt;=[1]Datos!$G$9,[1]Datos!$I$8+(J14-[1]Datos!$F$9)*[1]Datos!$J$6,IF(J14&gt;=[1]Datos!$F$10,([1]Datos!$I$8+[1]Datos!$J$8)+(J14-[1]Datos!$F$10)*[1]Datos!$K$6))))</f>
        <v>21553.72866666667</v>
      </c>
      <c r="L14" s="26"/>
      <c r="M14" s="26">
        <v>25</v>
      </c>
      <c r="N14" s="26">
        <f t="shared" si="1"/>
        <v>25</v>
      </c>
      <c r="O14" s="26"/>
      <c r="P14" s="25">
        <v>29813.37</v>
      </c>
      <c r="Q14" s="16">
        <f t="shared" si="2"/>
        <v>110186.63</v>
      </c>
    </row>
    <row r="15" spans="3:17" x14ac:dyDescent="0.25">
      <c r="C15" s="22">
        <v>7</v>
      </c>
      <c r="D15" s="21" t="s">
        <v>39</v>
      </c>
      <c r="E15" s="42" t="s">
        <v>35</v>
      </c>
      <c r="F15" s="17">
        <v>140000</v>
      </c>
      <c r="G15" s="20">
        <v>4081</v>
      </c>
      <c r="H15" s="19">
        <v>4256</v>
      </c>
      <c r="I15" s="17"/>
      <c r="J15" s="17">
        <f>+F15-G15-H15</f>
        <v>131663</v>
      </c>
      <c r="K15" s="17">
        <v>21514.37</v>
      </c>
      <c r="L15" s="18"/>
      <c r="M15" s="18">
        <v>25</v>
      </c>
      <c r="N15" s="18">
        <v>25</v>
      </c>
      <c r="O15" s="18"/>
      <c r="P15" s="17">
        <v>29813.37</v>
      </c>
      <c r="Q15" s="16">
        <v>110186.63</v>
      </c>
    </row>
    <row r="16" spans="3:17" x14ac:dyDescent="0.25">
      <c r="C16" s="22">
        <v>8</v>
      </c>
      <c r="D16" s="32" t="s">
        <v>15</v>
      </c>
      <c r="E16" s="43" t="s">
        <v>35</v>
      </c>
      <c r="F16" s="17">
        <v>135000</v>
      </c>
      <c r="G16" s="20">
        <f>IF(F16&gt;=[1]Datos!$D$14,([1]Datos!$D$14*[1]Datos!$C$14),IF(F16&lt;=[1]Datos!$D$14,(F16*[1]Datos!$C$14)))</f>
        <v>3874.5</v>
      </c>
      <c r="H16" s="19">
        <v>4104</v>
      </c>
      <c r="I16" s="34"/>
      <c r="J16" s="17">
        <f t="shared" ref="J16:J19" si="6">+F16-(G16+H16+I16)</f>
        <v>127021.5</v>
      </c>
      <c r="K16" s="17">
        <v>20338.240000000002</v>
      </c>
      <c r="L16" s="20">
        <v>1436.42</v>
      </c>
      <c r="M16" s="18">
        <v>25</v>
      </c>
      <c r="N16" s="18">
        <f t="shared" ref="N16:N19" si="7">+I16+L16+M16</f>
        <v>1461.42</v>
      </c>
      <c r="O16" s="18"/>
      <c r="P16" s="17">
        <f>+G16+H16+K16+N16-O16</f>
        <v>29778.160000000003</v>
      </c>
      <c r="Q16" s="16">
        <f t="shared" ref="Q16:Q20" si="8">+F16-P16</f>
        <v>105221.84</v>
      </c>
    </row>
    <row r="17" spans="3:17" x14ac:dyDescent="0.25">
      <c r="C17" s="22">
        <v>9</v>
      </c>
      <c r="D17" s="32" t="s">
        <v>13</v>
      </c>
      <c r="E17" s="43" t="s">
        <v>35</v>
      </c>
      <c r="F17" s="17">
        <v>115000</v>
      </c>
      <c r="G17" s="20">
        <f>IF(F17&gt;=[1]Datos!$D$14,([1]Datos!$D$14*[1]Datos!$C$14),IF(F17&lt;=[1]Datos!$D$14,(F17*[1]Datos!$C$14)))</f>
        <v>3300.5</v>
      </c>
      <c r="H17" s="19">
        <f>IF(F17&gt;=[1]Datos!$D$15,([1]Datos!$D$15*[1]Datos!$C$15),IF(F17&lt;=[1]Datos!$D$15,(F17*[1]Datos!$C$15)))</f>
        <v>3496</v>
      </c>
      <c r="I17" s="34"/>
      <c r="J17" s="17">
        <f t="shared" si="6"/>
        <v>108203.5</v>
      </c>
      <c r="K17" s="17">
        <f>IF(J17&lt;=[1]Datos!$G$7,"0",IF(J17&lt;=[1]Datos!$G$8,(J17-[1]Datos!$F$8)*[1]Datos!$I$6,IF(J17&lt;=[1]Datos!$G$9,[1]Datos!$I$8+(J17-[1]Datos!$F$9)*[1]Datos!$J$6,IF(J17&gt;=[1]Datos!$F$10,([1]Datos!$I$8+[1]Datos!$J$8)+(J17-[1]Datos!$F$10)*[1]Datos!$K$6))))</f>
        <v>15633.735666666667</v>
      </c>
      <c r="L17" s="18">
        <v>9159.7099999999991</v>
      </c>
      <c r="M17" s="18">
        <v>25</v>
      </c>
      <c r="N17" s="18">
        <f t="shared" si="7"/>
        <v>9184.7099999999991</v>
      </c>
      <c r="O17" s="18"/>
      <c r="P17" s="17">
        <f>+G17+H17+K17+N17-O17</f>
        <v>31614.945666666667</v>
      </c>
      <c r="Q17" s="16">
        <f t="shared" si="8"/>
        <v>83385.054333333333</v>
      </c>
    </row>
    <row r="18" spans="3:17" x14ac:dyDescent="0.25">
      <c r="C18" s="22">
        <v>10</v>
      </c>
      <c r="D18" s="32" t="s">
        <v>12</v>
      </c>
      <c r="E18" s="42" t="s">
        <v>34</v>
      </c>
      <c r="F18" s="30">
        <v>105000</v>
      </c>
      <c r="G18" s="20">
        <f>IF(F18&gt;=[1]Datos!$D$14,([1]Datos!$D$14*[1]Datos!$C$14),IF(F18&lt;=[1]Datos!$D$14,(F18*[1]Datos!$C$14)))</f>
        <v>3013.5</v>
      </c>
      <c r="H18" s="19">
        <f>IF(F18&gt;=[1]Datos!$D$15,([1]Datos!$D$15*[1]Datos!$C$15),IF(F18&lt;=[1]Datos!$D$15,(F18*[1]Datos!$C$15)))</f>
        <v>3192</v>
      </c>
      <c r="I18" s="17"/>
      <c r="J18" s="17">
        <f t="shared" si="6"/>
        <v>98794.5</v>
      </c>
      <c r="K18" s="17">
        <f>IF(J18&lt;=[1]Datos!$G$7,"0",IF(J18&lt;=[1]Datos!$G$8,(J18-[1]Datos!$F$8)*[1]Datos!$I$6,IF(J18&lt;=[1]Datos!$G$9,[1]Datos!$I$8+(J18-[1]Datos!$F$9)*[1]Datos!$J$6,IF(J18&gt;=[1]Datos!$F$10,([1]Datos!$I$8+[1]Datos!$J$8)+(J18-[1]Datos!$F$10)*[1]Datos!$K$6))))</f>
        <v>13281.485666666667</v>
      </c>
      <c r="L18" s="30"/>
      <c r="M18" s="18">
        <v>25</v>
      </c>
      <c r="N18" s="18">
        <f t="shared" si="7"/>
        <v>25</v>
      </c>
      <c r="O18" s="18"/>
      <c r="P18" s="17">
        <f>+G18+H18+K18+N18</f>
        <v>19511.985666666667</v>
      </c>
      <c r="Q18" s="16">
        <f t="shared" si="8"/>
        <v>85488.014333333325</v>
      </c>
    </row>
    <row r="19" spans="3:17" x14ac:dyDescent="0.25">
      <c r="C19" s="22">
        <v>11</v>
      </c>
      <c r="D19" s="33" t="s">
        <v>40</v>
      </c>
      <c r="E19" s="42" t="s">
        <v>34</v>
      </c>
      <c r="F19" s="23">
        <v>100000</v>
      </c>
      <c r="G19" s="20">
        <f>IF(F19&gt;=[1]Datos!$D$14,([1]Datos!$D$14*[1]Datos!$C$14),IF(F19&lt;=[1]Datos!$D$14,(F19*[1]Datos!$C$14)))</f>
        <v>2870</v>
      </c>
      <c r="H19" s="19">
        <f>IF(F19&gt;=[1]Datos!$D$15,([1]Datos!$D$15*[1]Datos!$C$15),IF(F19&lt;=[1]Datos!$D$15,(F19*[1]Datos!$C$15)))</f>
        <v>3040</v>
      </c>
      <c r="I19" s="18"/>
      <c r="J19" s="17">
        <f t="shared" si="6"/>
        <v>94090</v>
      </c>
      <c r="K19" s="17">
        <f>IF(J19&lt;=[1]Datos!$G$7,"0",IF(J19&lt;=[1]Datos!$G$8,(J19-[1]Datos!$F$8)*[1]Datos!$I$6,IF(J19&lt;=[1]Datos!$G$9,[1]Datos!$I$8+(J19-[1]Datos!$F$9)*[1]Datos!$J$6,IF(J19&gt;=[1]Datos!$F$10,([1]Datos!$I$8+[1]Datos!$J$8)+(J19-[1]Datos!$F$10)*[1]Datos!$K$6))))</f>
        <v>12105.360666666667</v>
      </c>
      <c r="L19" s="18"/>
      <c r="M19" s="18">
        <v>25</v>
      </c>
      <c r="N19" s="18">
        <f t="shared" si="7"/>
        <v>25</v>
      </c>
      <c r="O19" s="18"/>
      <c r="P19" s="17">
        <v>11685.8</v>
      </c>
      <c r="Q19" s="16">
        <f t="shared" si="8"/>
        <v>88314.2</v>
      </c>
    </row>
    <row r="20" spans="3:17" x14ac:dyDescent="0.25">
      <c r="C20" s="22">
        <v>12</v>
      </c>
      <c r="D20" s="24" t="s">
        <v>6</v>
      </c>
      <c r="E20" s="43" t="s">
        <v>35</v>
      </c>
      <c r="F20" s="23">
        <v>90000</v>
      </c>
      <c r="G20" s="20">
        <v>2583</v>
      </c>
      <c r="H20" s="19">
        <v>2736</v>
      </c>
      <c r="I20" s="18"/>
      <c r="J20" s="17">
        <f>+F20-G20-H20</f>
        <v>84681</v>
      </c>
      <c r="K20" s="17">
        <v>9753.1200000000008</v>
      </c>
      <c r="L20" s="18">
        <v>478.81</v>
      </c>
      <c r="M20" s="18">
        <v>25</v>
      </c>
      <c r="N20" s="18">
        <f>+L20+M20</f>
        <v>503.81</v>
      </c>
      <c r="O20" s="18"/>
      <c r="P20" s="17">
        <v>15575.93</v>
      </c>
      <c r="Q20" s="16">
        <f t="shared" si="8"/>
        <v>74424.070000000007</v>
      </c>
    </row>
    <row r="21" spans="3:17" x14ac:dyDescent="0.25">
      <c r="C21" s="22">
        <v>13</v>
      </c>
      <c r="D21" s="35" t="s">
        <v>44</v>
      </c>
      <c r="E21" s="43" t="s">
        <v>35</v>
      </c>
      <c r="F21" s="17">
        <v>100000</v>
      </c>
      <c r="G21" s="20">
        <f>IF(F21&gt;=[1]Datos!$D$14,([1]Datos!$D$14*[1]Datos!$C$14),IF(F21&lt;=[1]Datos!$D$14,(F21*[1]Datos!$C$14)))</f>
        <v>2870</v>
      </c>
      <c r="H21" s="19">
        <f>IF(F21&gt;=[1]Datos!$D$15,([1]Datos!$D$15*[1]Datos!$C$15),IF(F21&lt;=[1]Datos!$D$15,(F21*[1]Datos!$C$15)))</f>
        <v>3040</v>
      </c>
      <c r="I21" s="17"/>
      <c r="J21" s="17">
        <f t="shared" ref="J21" si="9">+F21-(G21+H21+I21)</f>
        <v>94090</v>
      </c>
      <c r="K21" s="17">
        <v>12105.37</v>
      </c>
      <c r="L21" s="18">
        <v>734.14</v>
      </c>
      <c r="M21" s="18">
        <v>25</v>
      </c>
      <c r="N21" s="18">
        <f>+L21+M21</f>
        <v>759.14</v>
      </c>
      <c r="O21" s="18"/>
      <c r="P21" s="17">
        <f>+G21+H21+K21+L21+M21</f>
        <v>18774.510000000002</v>
      </c>
      <c r="Q21" s="16">
        <f>+F21-P21+25</f>
        <v>81250.489999999991</v>
      </c>
    </row>
    <row r="22" spans="3:17" x14ac:dyDescent="0.25">
      <c r="C22" s="22">
        <v>14</v>
      </c>
      <c r="D22" s="21" t="s">
        <v>4</v>
      </c>
      <c r="E22" s="42" t="s">
        <v>35</v>
      </c>
      <c r="F22" s="17">
        <v>65000</v>
      </c>
      <c r="G22" s="20">
        <v>1865.5</v>
      </c>
      <c r="H22" s="19">
        <v>1976</v>
      </c>
      <c r="I22" s="17"/>
      <c r="J22" s="17">
        <f>+F22-G22-H22</f>
        <v>61158.5</v>
      </c>
      <c r="K22" s="17">
        <v>4427.58</v>
      </c>
      <c r="L22" s="18">
        <v>213.77</v>
      </c>
      <c r="M22" s="18">
        <v>25</v>
      </c>
      <c r="N22" s="18">
        <v>25</v>
      </c>
      <c r="O22" s="18"/>
      <c r="P22" s="17">
        <v>8294.08</v>
      </c>
      <c r="Q22" s="16">
        <v>56705.919999999998</v>
      </c>
    </row>
    <row r="23" spans="3:17" x14ac:dyDescent="0.25">
      <c r="C23" s="22">
        <v>15</v>
      </c>
      <c r="D23" s="32" t="s">
        <v>5</v>
      </c>
      <c r="E23" s="23" t="s">
        <v>35</v>
      </c>
      <c r="F23" s="23">
        <v>71000</v>
      </c>
      <c r="G23" s="20">
        <v>2037.7</v>
      </c>
      <c r="H23" s="19">
        <v>2158.4</v>
      </c>
      <c r="I23" s="18"/>
      <c r="J23" s="17">
        <v>66803.899999999994</v>
      </c>
      <c r="K23" s="17">
        <v>5556.6556666666656</v>
      </c>
      <c r="L23" s="18"/>
      <c r="M23" s="18">
        <v>25</v>
      </c>
      <c r="N23" s="18">
        <v>25</v>
      </c>
      <c r="O23" s="18"/>
      <c r="P23" s="17">
        <v>9777.755666666666</v>
      </c>
      <c r="Q23" s="16">
        <v>61222.244333333336</v>
      </c>
    </row>
    <row r="24" spans="3:17" x14ac:dyDescent="0.25">
      <c r="C24" s="22">
        <v>16</v>
      </c>
      <c r="D24" s="33" t="s">
        <v>31</v>
      </c>
      <c r="E24" s="23" t="s">
        <v>34</v>
      </c>
      <c r="F24" s="23">
        <v>65000</v>
      </c>
      <c r="G24" s="20">
        <v>1865.5</v>
      </c>
      <c r="H24" s="19">
        <v>1976</v>
      </c>
      <c r="I24" s="18"/>
      <c r="J24" s="17">
        <v>61158.5</v>
      </c>
      <c r="K24" s="17">
        <v>4427.58</v>
      </c>
      <c r="L24" s="18"/>
      <c r="M24" s="18">
        <v>25</v>
      </c>
      <c r="N24" s="18">
        <v>25</v>
      </c>
      <c r="O24" s="18"/>
      <c r="P24" s="17">
        <v>8294.08</v>
      </c>
      <c r="Q24" s="16">
        <v>56705.919999999998</v>
      </c>
    </row>
    <row r="25" spans="3:17" x14ac:dyDescent="0.25">
      <c r="C25" s="22">
        <v>17</v>
      </c>
      <c r="D25" s="33" t="s">
        <v>31</v>
      </c>
      <c r="E25" s="23" t="s">
        <v>35</v>
      </c>
      <c r="F25" s="23">
        <v>65000</v>
      </c>
      <c r="G25" s="20">
        <v>1865.5</v>
      </c>
      <c r="H25" s="19">
        <v>1976</v>
      </c>
      <c r="I25" s="18"/>
      <c r="J25" s="17">
        <v>61158.5</v>
      </c>
      <c r="K25" s="17">
        <v>4427.58</v>
      </c>
      <c r="L25" s="18"/>
      <c r="M25" s="18">
        <v>25</v>
      </c>
      <c r="N25" s="18">
        <v>25</v>
      </c>
      <c r="O25" s="18"/>
      <c r="P25" s="17">
        <v>8294.08</v>
      </c>
      <c r="Q25" s="16">
        <v>56705.919999999998</v>
      </c>
    </row>
    <row r="26" spans="3:17" x14ac:dyDescent="0.25">
      <c r="C26" s="22">
        <v>18</v>
      </c>
      <c r="D26" s="32" t="s">
        <v>5</v>
      </c>
      <c r="E26" s="23" t="s">
        <v>34</v>
      </c>
      <c r="F26" s="23">
        <v>71000</v>
      </c>
      <c r="G26" s="20">
        <v>2037.7</v>
      </c>
      <c r="H26" s="19">
        <v>2158.4</v>
      </c>
      <c r="I26" s="18"/>
      <c r="J26" s="17">
        <v>66803.899999999994</v>
      </c>
      <c r="K26" s="17">
        <v>5556.6556666666656</v>
      </c>
      <c r="L26" s="18"/>
      <c r="M26" s="18">
        <v>25</v>
      </c>
      <c r="N26" s="18">
        <v>25</v>
      </c>
      <c r="O26" s="18"/>
      <c r="P26" s="17">
        <v>9777.755666666666</v>
      </c>
      <c r="Q26" s="16">
        <v>61222.244333333336</v>
      </c>
    </row>
    <row r="27" spans="3:17" x14ac:dyDescent="0.25">
      <c r="C27" s="22">
        <v>19</v>
      </c>
      <c r="D27" s="32" t="s">
        <v>5</v>
      </c>
      <c r="E27" s="23" t="s">
        <v>35</v>
      </c>
      <c r="F27" s="23">
        <v>71000</v>
      </c>
      <c r="G27" s="20">
        <v>2037.7</v>
      </c>
      <c r="H27" s="19">
        <v>2158.4</v>
      </c>
      <c r="I27" s="18"/>
      <c r="J27" s="17">
        <v>66803.899999999994</v>
      </c>
      <c r="K27" s="17">
        <v>5556.6556666666656</v>
      </c>
      <c r="L27" s="18">
        <v>4032.26</v>
      </c>
      <c r="M27" s="18">
        <v>25</v>
      </c>
      <c r="N27" s="18">
        <v>4057.26</v>
      </c>
      <c r="O27" s="18"/>
      <c r="P27" s="17">
        <v>11685.8</v>
      </c>
      <c r="Q27" s="16">
        <v>59314.2</v>
      </c>
    </row>
    <row r="28" spans="3:17" x14ac:dyDescent="0.25">
      <c r="C28" s="22">
        <v>20</v>
      </c>
      <c r="D28" s="32" t="s">
        <v>5</v>
      </c>
      <c r="E28" s="23" t="s">
        <v>34</v>
      </c>
      <c r="F28" s="23">
        <v>71000</v>
      </c>
      <c r="G28" s="20">
        <v>2037.7</v>
      </c>
      <c r="H28" s="19">
        <v>2158.4</v>
      </c>
      <c r="I28" s="18"/>
      <c r="J28" s="17">
        <v>66803.899999999994</v>
      </c>
      <c r="K28" s="17">
        <v>5556.6556666666656</v>
      </c>
      <c r="L28" s="18"/>
      <c r="M28" s="18">
        <v>25</v>
      </c>
      <c r="N28" s="18">
        <v>25</v>
      </c>
      <c r="O28" s="18">
        <v>9777.76</v>
      </c>
      <c r="P28" s="17">
        <v>9777.76</v>
      </c>
      <c r="Q28" s="16">
        <v>61222.239999999998</v>
      </c>
    </row>
    <row r="29" spans="3:17" x14ac:dyDescent="0.25">
      <c r="C29" s="22">
        <v>21</v>
      </c>
      <c r="D29" s="32" t="s">
        <v>5</v>
      </c>
      <c r="E29" s="23" t="s">
        <v>34</v>
      </c>
      <c r="F29" s="23">
        <v>86000</v>
      </c>
      <c r="G29" s="20">
        <v>2468.1999999999998</v>
      </c>
      <c r="H29" s="19">
        <v>2614.4</v>
      </c>
      <c r="I29" s="18"/>
      <c r="J29" s="17">
        <v>80917.399999999994</v>
      </c>
      <c r="K29" s="17">
        <v>8812.2106666666659</v>
      </c>
      <c r="L29" s="18"/>
      <c r="M29" s="18">
        <v>25</v>
      </c>
      <c r="N29" s="18">
        <v>25</v>
      </c>
      <c r="O29" s="18"/>
      <c r="P29" s="17">
        <v>13919.810666666666</v>
      </c>
      <c r="Q29" s="16">
        <v>72080.189333333328</v>
      </c>
    </row>
    <row r="30" spans="3:17" x14ac:dyDescent="0.25">
      <c r="C30" s="22">
        <v>22</v>
      </c>
      <c r="D30" s="24" t="s">
        <v>5</v>
      </c>
      <c r="E30" s="23" t="s">
        <v>35</v>
      </c>
      <c r="F30" s="23">
        <v>86000</v>
      </c>
      <c r="G30" s="20">
        <v>2468.1999999999998</v>
      </c>
      <c r="H30" s="19">
        <v>2614.4</v>
      </c>
      <c r="I30" s="18"/>
      <c r="J30" s="17">
        <v>80917.399999999994</v>
      </c>
      <c r="K30" s="17">
        <v>8812.2106666666659</v>
      </c>
      <c r="L30" s="18">
        <v>1908.04</v>
      </c>
      <c r="M30" s="18">
        <v>25</v>
      </c>
      <c r="N30" s="18">
        <v>1933.04</v>
      </c>
      <c r="O30" s="18"/>
      <c r="P30" s="17">
        <v>15705</v>
      </c>
      <c r="Q30" s="16">
        <v>70295</v>
      </c>
    </row>
    <row r="31" spans="3:17" x14ac:dyDescent="0.25">
      <c r="C31" s="22">
        <v>23</v>
      </c>
      <c r="D31" s="24" t="s">
        <v>5</v>
      </c>
      <c r="E31" s="23" t="s">
        <v>35</v>
      </c>
      <c r="F31" s="23">
        <v>86000</v>
      </c>
      <c r="G31" s="20">
        <v>2468.1999999999998</v>
      </c>
      <c r="H31" s="19">
        <v>2614.4</v>
      </c>
      <c r="I31" s="18">
        <v>2380.2399999999998</v>
      </c>
      <c r="J31" s="17">
        <v>78537.16</v>
      </c>
      <c r="K31" s="17">
        <v>8217.1506666666683</v>
      </c>
      <c r="L31" s="18"/>
      <c r="M31" s="18">
        <v>25</v>
      </c>
      <c r="N31" s="18">
        <v>2405.2399999999998</v>
      </c>
      <c r="O31" s="18"/>
      <c r="P31" s="17">
        <v>15705</v>
      </c>
      <c r="Q31" s="16">
        <v>70295</v>
      </c>
    </row>
    <row r="32" spans="3:17" x14ac:dyDescent="0.25">
      <c r="C32" s="22">
        <v>24</v>
      </c>
      <c r="D32" s="21" t="s">
        <v>5</v>
      </c>
      <c r="E32" s="44" t="s">
        <v>34</v>
      </c>
      <c r="F32" s="17">
        <v>65000</v>
      </c>
      <c r="G32" s="20">
        <v>1865.5</v>
      </c>
      <c r="H32" s="19">
        <v>1976</v>
      </c>
      <c r="I32" s="17"/>
      <c r="J32" s="17">
        <v>61158.5</v>
      </c>
      <c r="K32" s="17">
        <v>4427.58</v>
      </c>
      <c r="L32" s="18">
        <v>1008.07</v>
      </c>
      <c r="M32" s="18">
        <v>25</v>
      </c>
      <c r="N32" s="18">
        <v>25</v>
      </c>
      <c r="O32" s="18"/>
      <c r="P32" s="17">
        <v>8294.08</v>
      </c>
      <c r="Q32" s="16">
        <v>56705.919999999998</v>
      </c>
    </row>
    <row r="33" spans="3:17" x14ac:dyDescent="0.25">
      <c r="C33" s="22">
        <v>25</v>
      </c>
      <c r="D33" s="33" t="s">
        <v>45</v>
      </c>
      <c r="E33" s="45" t="s">
        <v>35</v>
      </c>
      <c r="F33" s="17">
        <v>71000</v>
      </c>
      <c r="G33" s="20">
        <f>IF(F33&gt;=[1]Datos!$D$14,([1]Datos!$D$14*[1]Datos!$C$14),IF(F33&lt;=[1]Datos!$D$14,(F33*[1]Datos!$C$14)))</f>
        <v>2037.7</v>
      </c>
      <c r="H33" s="19">
        <f>IF(F33&gt;=[1]Datos!$D$15,([1]Datos!$D$15*[1]Datos!$C$15),IF(F33&lt;=[1]Datos!$D$15,(F33*[1]Datos!$C$15)))</f>
        <v>2158.4</v>
      </c>
      <c r="I33" s="34"/>
      <c r="J33" s="17">
        <f t="shared" ref="J33" si="10">+F33-(G33+H33+I33)</f>
        <v>66803.899999999994</v>
      </c>
      <c r="K33" s="17">
        <f>IF(J33&lt;=[1]Datos!$G$7,"0",IF(J33&lt;=[1]Datos!$G$8,(J33-[1]Datos!$F$8)*[1]Datos!$I$6,IF(J33&lt;=[1]Datos!$G$9,[1]Datos!$I$8+(J33-[1]Datos!$F$9)*[1]Datos!$J$6,IF(J33&gt;=[1]Datos!$F$10,([1]Datos!$I$8+[1]Datos!$J$8)+(J33-[1]Datos!$F$10)*[1]Datos!$K$6))))</f>
        <v>5556.6556666666656</v>
      </c>
      <c r="L33" s="18">
        <v>3514.51</v>
      </c>
      <c r="M33" s="18">
        <v>25</v>
      </c>
      <c r="N33" s="18">
        <f t="shared" ref="N33" si="11">+I33+L33+M33</f>
        <v>3539.51</v>
      </c>
      <c r="O33" s="18"/>
      <c r="P33" s="17">
        <v>9015.41</v>
      </c>
      <c r="Q33" s="16">
        <f t="shared" ref="Q33" si="12">+F33-P33</f>
        <v>61984.59</v>
      </c>
    </row>
    <row r="34" spans="3:17" x14ac:dyDescent="0.25">
      <c r="C34" s="22">
        <v>26</v>
      </c>
      <c r="D34" s="33" t="s">
        <v>14</v>
      </c>
      <c r="E34" s="44" t="s">
        <v>35</v>
      </c>
      <c r="F34" s="17">
        <v>60000</v>
      </c>
      <c r="G34" s="20">
        <f>IF(F34&gt;=[1]Datos!$D$14,([1]Datos!$D$14*[1]Datos!$C$14),IF(F34&lt;=[1]Datos!$D$14,(F34*[1]Datos!$C$14)))</f>
        <v>1722</v>
      </c>
      <c r="H34" s="19">
        <f>IF(F34&gt;=[1]Datos!$D$15,([1]Datos!$D$15*[1]Datos!$C$15),IF(F34&lt;=[1]Datos!$D$15,(F34*[1]Datos!$C$15)))</f>
        <v>1824</v>
      </c>
      <c r="I34" s="34">
        <v>1190.1199999999999</v>
      </c>
      <c r="J34" s="17">
        <f t="shared" ref="J34:J35" si="13">+F34-(G34+H34+I34)</f>
        <v>55263.88</v>
      </c>
      <c r="K34" s="17">
        <f>IF(J34&lt;=[1]Datos!$G$7,"0",IF(J34&lt;=[1]Datos!$G$8,(J34-[1]Datos!$F$8)*[1]Datos!$I$6,IF(J34&lt;=[1]Datos!$G$9,[1]Datos!$I$8+(J34-[1]Datos!$F$9)*[1]Datos!$J$6,IF(J34&gt;=[1]Datos!$F$10,([1]Datos!$I$8+[1]Datos!$J$8)+(J34-[1]Datos!$F$10)*[1]Datos!$K$6))))</f>
        <v>3248.6516666666657</v>
      </c>
      <c r="L34" s="18">
        <v>1659.62</v>
      </c>
      <c r="M34" s="18">
        <v>25</v>
      </c>
      <c r="N34" s="18">
        <f t="shared" ref="N34:N35" si="14">+I34+L34+M34</f>
        <v>2874.74</v>
      </c>
      <c r="O34" s="18"/>
      <c r="P34" s="17">
        <f>+G34+H34+K34+N34</f>
        <v>9669.3916666666664</v>
      </c>
      <c r="Q34" s="16">
        <f t="shared" ref="Q34:Q35" si="15">+F34-P34</f>
        <v>50330.608333333337</v>
      </c>
    </row>
    <row r="35" spans="3:17" x14ac:dyDescent="0.25">
      <c r="C35" s="22">
        <v>27</v>
      </c>
      <c r="D35" s="32" t="s">
        <v>9</v>
      </c>
      <c r="E35" s="22" t="s">
        <v>34</v>
      </c>
      <c r="F35" s="30">
        <v>48000</v>
      </c>
      <c r="G35" s="20">
        <f>IF(F35&gt;=[1]Datos!$D$14,([1]Datos!$D$14*[1]Datos!$C$14),IF(F35&lt;=[1]Datos!$D$14,(F35*[1]Datos!$C$14)))</f>
        <v>1377.6</v>
      </c>
      <c r="H35" s="20">
        <f>IF(F35&gt;=[1]Datos!$D$15,([1]Datos!$D$15*[1]Datos!$C$15),IF(F35&lt;=[1]Datos!$D$15,(F35*[1]Datos!$C$15)))</f>
        <v>1459.2</v>
      </c>
      <c r="I35" s="18"/>
      <c r="J35" s="30">
        <f t="shared" si="13"/>
        <v>45163.199999999997</v>
      </c>
      <c r="K35" s="30">
        <f>IF(J35&lt;=[1]Datos!$G$7,"0",IF(J35&lt;=[1]Datos!$G$8,(J35-[1]Datos!$F$8)*[1]Datos!$I$6,IF(J35&lt;=[1]Datos!$G$9,[1]Datos!$I$8+(J35-[1]Datos!$F$9)*[1]Datos!$J$6,IF(J35&gt;=[1]Datos!$F$10,([1]Datos!$I$8+[1]Datos!$J$8)+(J35-[1]Datos!$F$10)*[1]Datos!$K$6))))</f>
        <v>1571.7284999999993</v>
      </c>
      <c r="L35" s="18"/>
      <c r="M35" s="18">
        <v>25</v>
      </c>
      <c r="N35" s="18">
        <f t="shared" si="14"/>
        <v>25</v>
      </c>
      <c r="O35" s="18"/>
      <c r="P35" s="30">
        <f>+G35+H35+K35+N35-O35</f>
        <v>4433.5284999999994</v>
      </c>
      <c r="Q35" s="16">
        <f t="shared" si="15"/>
        <v>43566.4715</v>
      </c>
    </row>
    <row r="36" spans="3:17" x14ac:dyDescent="0.25">
      <c r="C36" s="22">
        <v>28</v>
      </c>
      <c r="D36" s="32" t="s">
        <v>10</v>
      </c>
      <c r="E36" s="45" t="s">
        <v>34</v>
      </c>
      <c r="F36" s="17">
        <v>43000</v>
      </c>
      <c r="G36" s="20">
        <v>1234.0999999999999</v>
      </c>
      <c r="H36" s="19">
        <v>1307.2</v>
      </c>
      <c r="I36" s="18">
        <v>1190.1199999999999</v>
      </c>
      <c r="J36" s="17">
        <v>39268.58</v>
      </c>
      <c r="K36" s="17">
        <v>687.53549999999996</v>
      </c>
      <c r="L36" s="18"/>
      <c r="M36" s="18">
        <v>25</v>
      </c>
      <c r="N36" s="18">
        <v>1215.1199999999999</v>
      </c>
      <c r="O36" s="18"/>
      <c r="P36" s="17">
        <v>4443.9555</v>
      </c>
      <c r="Q36" s="16">
        <v>38556.044500000004</v>
      </c>
    </row>
    <row r="37" spans="3:17" x14ac:dyDescent="0.25">
      <c r="C37" s="22">
        <v>29</v>
      </c>
      <c r="D37" s="33" t="s">
        <v>10</v>
      </c>
      <c r="E37" s="45" t="s">
        <v>35</v>
      </c>
      <c r="F37" s="17">
        <v>45000</v>
      </c>
      <c r="G37" s="20">
        <v>1291.5</v>
      </c>
      <c r="H37" s="19">
        <v>1368</v>
      </c>
      <c r="I37" s="34"/>
      <c r="J37" s="17">
        <v>42340.5</v>
      </c>
      <c r="K37" s="17">
        <v>1148.3234999999997</v>
      </c>
      <c r="L37" s="18">
        <v>366.75</v>
      </c>
      <c r="M37" s="18">
        <v>25</v>
      </c>
      <c r="N37" s="18">
        <v>391.75</v>
      </c>
      <c r="O37" s="18"/>
      <c r="P37" s="17">
        <v>4199.5734999999995</v>
      </c>
      <c r="Q37" s="16">
        <v>40800.426500000001</v>
      </c>
    </row>
    <row r="38" spans="3:17" ht="16.5" thickBot="1" x14ac:dyDescent="0.3">
      <c r="C38" s="22">
        <v>30</v>
      </c>
      <c r="D38" s="32" t="s">
        <v>10</v>
      </c>
      <c r="E38" s="45" t="s">
        <v>34</v>
      </c>
      <c r="F38" s="23">
        <v>41000</v>
      </c>
      <c r="G38" s="20">
        <v>1176.7</v>
      </c>
      <c r="H38" s="19">
        <v>1246.4000000000001</v>
      </c>
      <c r="I38" s="34"/>
      <c r="J38" s="17">
        <v>38576.9</v>
      </c>
      <c r="K38" s="17">
        <v>583.78349999999989</v>
      </c>
      <c r="L38" s="18"/>
      <c r="M38" s="18">
        <v>25</v>
      </c>
      <c r="N38" s="18">
        <v>25</v>
      </c>
      <c r="O38" s="18"/>
      <c r="P38" s="17">
        <v>3031.8835000000004</v>
      </c>
      <c r="Q38" s="16">
        <v>37968.116499999996</v>
      </c>
    </row>
    <row r="39" spans="3:17" ht="16.5" thickBot="1" x14ac:dyDescent="0.3">
      <c r="C39" s="46" t="s">
        <v>3</v>
      </c>
      <c r="D39" s="47"/>
      <c r="E39" s="47"/>
      <c r="F39" s="15">
        <f>SUM(F9:F38)</f>
        <v>2800000</v>
      </c>
      <c r="G39" s="11">
        <v>65952.600000000006</v>
      </c>
      <c r="H39" s="14">
        <f>SUM(H9:H35)</f>
        <v>79053.983999999982</v>
      </c>
      <c r="I39" s="11">
        <f>SUM(I9:I34)</f>
        <v>3570.3599999999997</v>
      </c>
      <c r="J39" s="14">
        <f>SUM(J9:J35)</f>
        <v>2511046.9559999998</v>
      </c>
      <c r="K39" s="11">
        <v>266967.12</v>
      </c>
      <c r="L39" s="13">
        <v>32335.93</v>
      </c>
      <c r="M39" s="12">
        <f>SUM(M9:M35)</f>
        <v>625</v>
      </c>
      <c r="N39" s="13">
        <f>SUM(N9:N34)</f>
        <v>32876.076000000001</v>
      </c>
      <c r="O39" s="12">
        <f>SUM(O9:O34)</f>
        <v>9777.76</v>
      </c>
      <c r="P39" s="11">
        <f>SUM(P9:P38)</f>
        <v>514661.97599999997</v>
      </c>
      <c r="Q39" s="10">
        <f>SUM(Q9:Q38)</f>
        <v>2285363.0239999997</v>
      </c>
    </row>
    <row r="40" spans="3:17" x14ac:dyDescent="0.25">
      <c r="C40" s="9"/>
      <c r="D40" s="9"/>
      <c r="E40" s="9"/>
      <c r="F40" s="7"/>
      <c r="G40" s="7"/>
      <c r="H40" s="7"/>
      <c r="I40" s="7"/>
      <c r="J40" s="7"/>
      <c r="K40" s="7"/>
      <c r="L40" s="8"/>
      <c r="M40" s="8"/>
      <c r="N40" s="8"/>
      <c r="O40" s="8"/>
      <c r="P40" s="7"/>
      <c r="Q40" s="7"/>
    </row>
    <row r="41" spans="3:17" x14ac:dyDescent="0.25">
      <c r="C41" s="9"/>
      <c r="D41" s="9"/>
      <c r="E41" s="9"/>
      <c r="F41" s="7"/>
      <c r="G41" s="7"/>
      <c r="H41" s="7"/>
      <c r="I41" s="7"/>
      <c r="J41" s="7"/>
      <c r="K41" s="7"/>
      <c r="L41" s="8"/>
      <c r="M41" s="8"/>
      <c r="N41" s="8"/>
      <c r="O41" s="8"/>
      <c r="P41" s="7"/>
      <c r="Q41" s="7"/>
    </row>
    <row r="42" spans="3:17" x14ac:dyDescent="0.25">
      <c r="C42" s="9"/>
      <c r="D42" s="9"/>
      <c r="E42" s="9"/>
      <c r="F42" s="7"/>
      <c r="G42" s="7"/>
      <c r="H42" s="7"/>
      <c r="I42" s="7"/>
      <c r="J42" s="7"/>
      <c r="K42" s="7"/>
      <c r="L42" s="8"/>
      <c r="M42" s="8"/>
      <c r="N42" s="8"/>
      <c r="O42" s="8"/>
      <c r="P42" s="7"/>
      <c r="Q42" s="7"/>
    </row>
    <row r="43" spans="3:17" x14ac:dyDescent="0.25">
      <c r="C43" s="9"/>
      <c r="D43" s="9"/>
      <c r="E43" s="9"/>
      <c r="F43" s="7"/>
      <c r="G43" s="7"/>
      <c r="H43" s="7"/>
      <c r="I43" s="7"/>
      <c r="J43" s="7"/>
      <c r="K43" s="7"/>
      <c r="L43" s="8"/>
      <c r="M43" s="8"/>
      <c r="N43" s="8"/>
      <c r="O43" s="8"/>
      <c r="P43" s="7"/>
      <c r="Q43" s="6"/>
    </row>
    <row r="44" spans="3:17" x14ac:dyDescent="0.25">
      <c r="D44" s="1" t="s">
        <v>2</v>
      </c>
      <c r="F44" s="3"/>
      <c r="N44" s="1" t="s">
        <v>1</v>
      </c>
    </row>
    <row r="45" spans="3:17" x14ac:dyDescent="0.25">
      <c r="F45" s="3"/>
    </row>
    <row r="46" spans="3:17" x14ac:dyDescent="0.25">
      <c r="D46" s="5" t="s">
        <v>32</v>
      </c>
      <c r="I46" s="5"/>
      <c r="N46" s="5" t="s">
        <v>36</v>
      </c>
    </row>
    <row r="47" spans="3:17" x14ac:dyDescent="0.25">
      <c r="D47" s="1" t="s">
        <v>0</v>
      </c>
      <c r="N47" s="1" t="s">
        <v>37</v>
      </c>
    </row>
    <row r="48" spans="3:17" x14ac:dyDescent="0.25">
      <c r="F48" s="3"/>
    </row>
    <row r="49" spans="4:6" x14ac:dyDescent="0.25">
      <c r="F49" s="3"/>
    </row>
    <row r="50" spans="4:6" x14ac:dyDescent="0.25">
      <c r="D50" s="4"/>
      <c r="E50" s="4"/>
      <c r="F50" s="3"/>
    </row>
    <row r="51" spans="4:6" x14ac:dyDescent="0.25">
      <c r="F51" s="3"/>
    </row>
  </sheetData>
  <mergeCells count="3">
    <mergeCell ref="C39:E39"/>
    <mergeCell ref="C4:Q4"/>
    <mergeCell ref="C5:Q5"/>
  </mergeCells>
  <pageMargins left="0.70866141732283472" right="0.70866141732283472" top="0.74803149606299213" bottom="0.74803149606299213" header="0.31496062992125984" footer="0.31496062992125984"/>
  <pageSetup paperSize="5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Hansliery Sanchez Figuereo</dc:creator>
  <cp:lastModifiedBy>Claudio Rafael Castillo Tejada</cp:lastModifiedBy>
  <cp:lastPrinted>2022-03-30T12:55:23Z</cp:lastPrinted>
  <dcterms:created xsi:type="dcterms:W3CDTF">2021-11-15T17:38:26Z</dcterms:created>
  <dcterms:modified xsi:type="dcterms:W3CDTF">2022-03-30T12:56:57Z</dcterms:modified>
</cp:coreProperties>
</file>