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N34" i="1"/>
  <c r="G34" i="1"/>
  <c r="Q33" i="1"/>
  <c r="R33" i="1" s="1"/>
  <c r="K33" i="1"/>
  <c r="O32" i="1"/>
  <c r="I32" i="1"/>
  <c r="H32" i="1"/>
  <c r="O31" i="1"/>
  <c r="I31" i="1"/>
  <c r="H31" i="1"/>
  <c r="O30" i="1"/>
  <c r="K30" i="1"/>
  <c r="L30" i="1" s="1"/>
  <c r="Q30" i="1" s="1"/>
  <c r="R30" i="1" s="1"/>
  <c r="O29" i="1"/>
  <c r="I29" i="1"/>
  <c r="H29" i="1"/>
  <c r="K29" i="1" s="1"/>
  <c r="L29" i="1" s="1"/>
  <c r="O28" i="1"/>
  <c r="I28" i="1"/>
  <c r="H28" i="1"/>
  <c r="J27" i="1"/>
  <c r="J34" i="1" s="1"/>
  <c r="I27" i="1"/>
  <c r="H27" i="1"/>
  <c r="M26" i="1"/>
  <c r="O26" i="1" s="1"/>
  <c r="I26" i="1"/>
  <c r="K26" i="1" s="1"/>
  <c r="L26" i="1" s="1"/>
  <c r="H26" i="1"/>
  <c r="O25" i="1"/>
  <c r="I25" i="1"/>
  <c r="H25" i="1"/>
  <c r="O24" i="1"/>
  <c r="I24" i="1"/>
  <c r="H24" i="1"/>
  <c r="Q23" i="1"/>
  <c r="R23" i="1" s="1"/>
  <c r="O23" i="1"/>
  <c r="K23" i="1"/>
  <c r="H23" i="1"/>
  <c r="O22" i="1"/>
  <c r="I22" i="1"/>
  <c r="H22" i="1"/>
  <c r="O21" i="1"/>
  <c r="I21" i="1"/>
  <c r="H21" i="1"/>
  <c r="O20" i="1"/>
  <c r="I20" i="1"/>
  <c r="K20" i="1" s="1"/>
  <c r="L20" i="1" s="1"/>
  <c r="H20" i="1"/>
  <c r="O19" i="1"/>
  <c r="I19" i="1"/>
  <c r="H19" i="1"/>
  <c r="O18" i="1"/>
  <c r="I18" i="1"/>
  <c r="H18" i="1"/>
  <c r="O17" i="1"/>
  <c r="I17" i="1"/>
  <c r="H17" i="1"/>
  <c r="K17" i="1" s="1"/>
  <c r="L17" i="1" s="1"/>
  <c r="O16" i="1"/>
  <c r="I16" i="1"/>
  <c r="H16" i="1"/>
  <c r="O15" i="1"/>
  <c r="I15" i="1"/>
  <c r="K15" i="1" s="1"/>
  <c r="L15" i="1" s="1"/>
  <c r="H15" i="1"/>
  <c r="O14" i="1"/>
  <c r="I14" i="1"/>
  <c r="H14" i="1"/>
  <c r="O13" i="1"/>
  <c r="L13" i="1"/>
  <c r="Q13" i="1" s="1"/>
  <c r="R13" i="1" s="1"/>
  <c r="K13" i="1"/>
  <c r="I12" i="1"/>
  <c r="H12" i="1"/>
  <c r="O11" i="1"/>
  <c r="K11" i="1"/>
  <c r="L11" i="1" s="1"/>
  <c r="Q11" i="1" s="1"/>
  <c r="R11" i="1" s="1"/>
  <c r="O10" i="1"/>
  <c r="H10" i="1"/>
  <c r="K10" i="1" s="1"/>
  <c r="L10" i="1" s="1"/>
  <c r="O9" i="1"/>
  <c r="I9" i="1"/>
  <c r="H9" i="1"/>
  <c r="O8" i="1"/>
  <c r="I8" i="1"/>
  <c r="H8" i="1"/>
  <c r="M7" i="1"/>
  <c r="O7" i="1" s="1"/>
  <c r="I7" i="1"/>
  <c r="H7" i="1"/>
  <c r="O6" i="1"/>
  <c r="I6" i="1"/>
  <c r="H6" i="1"/>
  <c r="O5" i="1"/>
  <c r="I5" i="1"/>
  <c r="K5" i="1" s="1"/>
  <c r="L5" i="1" s="1"/>
  <c r="H5" i="1"/>
  <c r="Q28" i="1" l="1"/>
  <c r="R28" i="1" s="1"/>
  <c r="H34" i="1"/>
  <c r="K6" i="1"/>
  <c r="L6" i="1" s="1"/>
  <c r="Q6" i="1" s="1"/>
  <c r="R6" i="1" s="1"/>
  <c r="K21" i="1"/>
  <c r="L21" i="1" s="1"/>
  <c r="Q21" i="1" s="1"/>
  <c r="R21" i="1" s="1"/>
  <c r="K27" i="1"/>
  <c r="L27" i="1" s="1"/>
  <c r="K31" i="1"/>
  <c r="L31" i="1" s="1"/>
  <c r="K28" i="1"/>
  <c r="L28" i="1" s="1"/>
  <c r="I34" i="1"/>
  <c r="K16" i="1"/>
  <c r="L16" i="1" s="1"/>
  <c r="Q16" i="1" s="1"/>
  <c r="R16" i="1" s="1"/>
  <c r="K9" i="1"/>
  <c r="L9" i="1" s="1"/>
  <c r="K19" i="1"/>
  <c r="L19" i="1" s="1"/>
  <c r="Q19" i="1" s="1"/>
  <c r="R19" i="1" s="1"/>
  <c r="K25" i="1"/>
  <c r="L25" i="1" s="1"/>
  <c r="Q25" i="1" s="1"/>
  <c r="R25" i="1" s="1"/>
  <c r="Q7" i="1"/>
  <c r="R7" i="1" s="1"/>
  <c r="Q17" i="1"/>
  <c r="R17" i="1" s="1"/>
  <c r="Q20" i="1"/>
  <c r="R20" i="1" s="1"/>
  <c r="Q29" i="1"/>
  <c r="R29" i="1" s="1"/>
  <c r="Q14" i="1"/>
  <c r="R14" i="1" s="1"/>
  <c r="Q31" i="1"/>
  <c r="R31" i="1" s="1"/>
  <c r="Q26" i="1"/>
  <c r="R26" i="1" s="1"/>
  <c r="K7" i="1"/>
  <c r="L7" i="1" s="1"/>
  <c r="K8" i="1"/>
  <c r="L8" i="1" s="1"/>
  <c r="Q8" i="1" s="1"/>
  <c r="R8" i="1" s="1"/>
  <c r="Q10" i="1"/>
  <c r="R10" i="1" s="1"/>
  <c r="K14" i="1"/>
  <c r="L14" i="1" s="1"/>
  <c r="K18" i="1"/>
  <c r="L18" i="1" s="1"/>
  <c r="Q18" i="1" s="1"/>
  <c r="R18" i="1" s="1"/>
  <c r="K22" i="1"/>
  <c r="L22" i="1" s="1"/>
  <c r="Q22" i="1" s="1"/>
  <c r="R22" i="1" s="1"/>
  <c r="K24" i="1"/>
  <c r="L24" i="1" s="1"/>
  <c r="Q24" i="1" s="1"/>
  <c r="R24" i="1" s="1"/>
  <c r="K32" i="1"/>
  <c r="L32" i="1" s="1"/>
  <c r="Q32" i="1" s="1"/>
  <c r="R32" i="1" s="1"/>
  <c r="Q5" i="1"/>
  <c r="K12" i="1"/>
  <c r="L12" i="1" s="1"/>
  <c r="Q12" i="1" s="1"/>
  <c r="R12" i="1" s="1"/>
  <c r="O27" i="1"/>
  <c r="Q27" i="1" s="1"/>
  <c r="R27" i="1" s="1"/>
  <c r="M34" i="1"/>
  <c r="Q9" i="1"/>
  <c r="R9" i="1" s="1"/>
  <c r="Q15" i="1"/>
  <c r="R15" i="1" s="1"/>
  <c r="L34" i="1" l="1"/>
  <c r="Q34" i="1"/>
  <c r="R5" i="1"/>
  <c r="R34" i="1" s="1"/>
  <c r="K34" i="1"/>
  <c r="O34" i="1"/>
</calcChain>
</file>

<file path=xl/sharedStrings.xml><?xml version="1.0" encoding="utf-8"?>
<sst xmlns="http://schemas.openxmlformats.org/spreadsheetml/2006/main" count="110" uniqueCount="47">
  <si>
    <t>Unidad de Analisís Financiero</t>
  </si>
  <si>
    <t>Nomina Empleados Temporales Enero 2022</t>
  </si>
  <si>
    <t>No.</t>
  </si>
  <si>
    <t xml:space="preserve">No. </t>
  </si>
  <si>
    <t xml:space="preserve">Empleados </t>
  </si>
  <si>
    <t>Género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</si>
  <si>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</si>
  <si>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</si>
  <si>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</si>
  <si>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</si>
  <si>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</si>
  <si>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</si>
  <si>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</si>
  <si>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</si>
  <si>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</si>
  <si>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de Gastos Educativos </t>
  </si>
  <si>
    <t>Total Descuentos</t>
  </si>
  <si>
    <t>Salario a Pagar</t>
  </si>
  <si>
    <t>Administrador de Seguridad</t>
  </si>
  <si>
    <t>M</t>
  </si>
  <si>
    <t>Encargada Departamento Juridico</t>
  </si>
  <si>
    <t xml:space="preserve">Encargada </t>
  </si>
  <si>
    <t>F</t>
  </si>
  <si>
    <t>Analista de Recursos Humanos</t>
  </si>
  <si>
    <t>Abogado II</t>
  </si>
  <si>
    <t>Enc. De Comunicaciones</t>
  </si>
  <si>
    <t>Analista de Presupuesto</t>
  </si>
  <si>
    <t xml:space="preserve">Analista Compras y Cont. </t>
  </si>
  <si>
    <t>Enc. Compras y Contrataciones</t>
  </si>
  <si>
    <t xml:space="preserve">Enc. De Contabilidad </t>
  </si>
  <si>
    <t>Enc. Archivo y Correspondencia</t>
  </si>
  <si>
    <t>Enc. Servicios Generales</t>
  </si>
  <si>
    <t xml:space="preserve">Enc. Administrativo y Financiero </t>
  </si>
  <si>
    <t>Enc. Planificación y Desarrollo</t>
  </si>
  <si>
    <t>Asistente Ante Despacho</t>
  </si>
  <si>
    <t>Soporte Mesa de Ayuda</t>
  </si>
  <si>
    <t>Encargado Depto. TIC</t>
  </si>
  <si>
    <t>Director  Análisis Estratégico</t>
  </si>
  <si>
    <t>Analista</t>
  </si>
  <si>
    <t>Enc. Dpto. Coordinación Nacional</t>
  </si>
  <si>
    <t>Enc. Prevención, Educación y Difusión</t>
  </si>
  <si>
    <t xml:space="preserve">Analista de Coordinacion </t>
  </si>
  <si>
    <t>Total General RD$</t>
  </si>
  <si>
    <t xml:space="preserve">Ana M. Yapor </t>
  </si>
  <si>
    <t xml:space="preserve">Carlos Castellanos Otaños </t>
  </si>
  <si>
    <t xml:space="preserve">Enc. Dpto Administrativo y Financiero </t>
  </si>
  <si>
    <t xml:space="preserve">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</si>
</sst>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rgb="FF00000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i/>
      <sz val="12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3" fontId="4" fillId="0" borderId="2" xfId="1" applyFont="1" applyBorder="1" applyAlignment="1">
      <alignment horizontal="right"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Border="1" applyAlignment="1">
      <alignment vertical="center"/>
    </xf>
    <xf numFmtId="4" fontId="4" fillId="0" borderId="2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5" borderId="2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43" fontId="4" fillId="5" borderId="2" xfId="1" applyFont="1" applyFill="1" applyBorder="1" applyAlignment="1">
      <alignment horizontal="center" vertical="center"/>
    </xf>
    <xf numFmtId="43" fontId="4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43" fontId="4" fillId="5" borderId="2" xfId="1" applyFont="1" applyFill="1" applyBorder="1" applyAlignment="1">
      <alignment vertical="center"/>
    </xf>
    <xf numFmtId="4" fontId="4" fillId="5" borderId="2" xfId="1" applyNumberFormat="1" applyFont="1" applyFill="1" applyBorder="1" applyAlignment="1">
      <alignment horizontal="right" vertical="center"/>
    </xf>
    <xf numFmtId="43" fontId="4" fillId="5" borderId="0" xfId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3" fontId="4" fillId="0" borderId="5" xfId="1" applyFont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4" fillId="0" borderId="5" xfId="1" applyFont="1" applyFill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43" fontId="4" fillId="0" borderId="2" xfId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3" fontId="4" fillId="0" borderId="8" xfId="1" applyFont="1" applyBorder="1" applyAlignment="1">
      <alignment horizontal="center"/>
    </xf>
    <xf numFmtId="43" fontId="4" fillId="0" borderId="8" xfId="1" applyFont="1" applyFill="1" applyBorder="1" applyAlignment="1">
      <alignment vertical="center"/>
    </xf>
    <xf numFmtId="43" fontId="4" fillId="0" borderId="8" xfId="1" applyFont="1" applyBorder="1" applyAlignment="1">
      <alignment vertical="center"/>
    </xf>
    <xf numFmtId="43" fontId="4" fillId="0" borderId="8" xfId="1" applyFont="1" applyBorder="1" applyAlignment="1">
      <alignment horizontal="right" vertical="center"/>
    </xf>
    <xf numFmtId="4" fontId="4" fillId="0" borderId="8" xfId="1" applyNumberFormat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43" fontId="4" fillId="5" borderId="2" xfId="1" applyFont="1" applyFill="1" applyBorder="1" applyAlignment="1">
      <alignment horizontal="center"/>
    </xf>
    <xf numFmtId="4" fontId="4" fillId="0" borderId="8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right" vertical="center"/>
    </xf>
    <xf numFmtId="43" fontId="4" fillId="0" borderId="7" xfId="1" applyFont="1" applyBorder="1" applyAlignment="1">
      <alignment horizontal="center"/>
    </xf>
    <xf numFmtId="43" fontId="4" fillId="0" borderId="7" xfId="1" applyFont="1" applyFill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7" xfId="1" applyFont="1" applyBorder="1" applyAlignment="1">
      <alignment horizontal="right" vertical="center"/>
    </xf>
    <xf numFmtId="43" fontId="4" fillId="0" borderId="7" xfId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43" fontId="9" fillId="0" borderId="14" xfId="1" applyFont="1" applyFill="1" applyBorder="1" applyAlignment="1">
      <alignment vertical="center" wrapText="1"/>
    </xf>
    <xf numFmtId="43" fontId="4" fillId="0" borderId="0" xfId="1" applyFont="1"/>
    <xf numFmtId="43" fontId="4" fillId="0" borderId="0" xfId="0" applyNumberFormat="1" applyFont="1"/>
    <xf numFmtId="0" fontId="3" fillId="0" borderId="0" xfId="0" applyFont="1"/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76200</xdr:rowOff>
    </xdr:from>
    <xdr:to>
      <xdr:col>3</xdr:col>
      <xdr:colOff>1670050</xdr:colOff>
      <xdr:row>2</xdr:row>
      <xdr:rowOff>1270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76200"/>
          <a:ext cx="1146175" cy="3536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Empleados%20Temporales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Zaida%20Gomez\A&#241;o%202021\N&#243;mina%202021\Descuento%20Humano%202021\RELACION%20DE%20DESCUENTOS%20A%20EMPLEADOS%20ARS%20HUMANO%20OCTUBR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Zaida%20Gomez\A&#241;o%202021\N&#243;mina%202021\Descuento%20Humano%202021\RELACION%20DE%20DESCUENTOS%20A%20EMPLEADOS%20ARS%20HUMANO%20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Fija adicional"/>
      <sheetName val="Contratado"/>
      <sheetName val="Contratado adicional"/>
      <sheetName val="Probatoria"/>
      <sheetName val="Seguridad"/>
      <sheetName val="Seguridad adicional"/>
      <sheetName val="Fijos cargos de carrera"/>
      <sheetName val="Caracter eventual"/>
    </sheetNames>
    <sheetDataSet>
      <sheetData sheetId="0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Grupo Gerencial Ampliado"/>
      <sheetName val="CONTRATADO Octubre 2021"/>
      <sheetName val="FIJO Octubre 2021"/>
      <sheetName val="SEGURIDAD Octubre 2021"/>
      <sheetName val="PROBATORIO Octubre 2021"/>
      <sheetName val="RESUMEN "/>
    </sheetNames>
    <sheetDataSet>
      <sheetData sheetId="0"/>
      <sheetData sheetId="1"/>
      <sheetData sheetId="2">
        <row r="17">
          <cell r="G17">
            <v>1008.0660000000003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Grupo Gerencial Ampliado"/>
      <sheetName val="CONTRATADO Agosto 2021"/>
      <sheetName val="FIJO Agosto 2021"/>
      <sheetName val="SEGURIDAD Agosto 2021"/>
      <sheetName val="PROBATORIO Agosto 2021"/>
      <sheetName val="RESUMEN "/>
    </sheetNames>
    <sheetDataSet>
      <sheetData sheetId="0"/>
      <sheetData sheetId="1"/>
      <sheetData sheetId="2">
        <row r="15">
          <cell r="G15">
            <v>1908.0439999999999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"/>
  <sheetViews>
    <sheetView tabSelected="1" workbookViewId="0">
      <selection activeCell="H6" sqref="H6"/>
    </sheetView>
  </sheetViews>
  <sheetFormatPr defaultColWidth="11.42578125" defaultRowHeight="15.75" x14ac:dyDescent="0.25"/>
  <cols>
    <col min="1" max="1" width="8.42578125" style="2" customWidth="1"/>
    <col min="2" max="2" width="13.140625" style="3" hidden="1" customWidth="1"/>
    <col min="3" max="3" width="6" style="3" customWidth="1"/>
    <col min="4" max="4" width="43.28515625" style="2" bestFit="1" customWidth="1"/>
    <col min="5" max="5" width="5.28515625" style="2" customWidth="1"/>
    <col min="6" max="6" width="9" style="2" bestFit="1" customWidth="1"/>
    <col min="7" max="7" width="17.42578125" style="2" bestFit="1" customWidth="1"/>
    <col min="8" max="9" width="14.140625" style="2" bestFit="1" customWidth="1"/>
    <col min="10" max="10" width="14.85546875" style="2" bestFit="1" customWidth="1"/>
    <col min="11" max="11" width="20.28515625" style="2" bestFit="1" customWidth="1"/>
    <col min="12" max="12" width="15.42578125" style="2" bestFit="1" customWidth="1"/>
    <col min="13" max="13" width="19.28515625" style="2" bestFit="1" customWidth="1"/>
    <col min="14" max="14" width="13.42578125" style="2" bestFit="1" customWidth="1"/>
    <col min="15" max="15" width="14.7109375" style="2" customWidth="1"/>
    <col min="16" max="16" width="16.42578125" style="2" bestFit="1" customWidth="1"/>
    <col min="17" max="17" width="19.7109375" style="2" bestFit="1" customWidth="1"/>
    <col min="18" max="18" width="17.85546875" style="2" bestFit="1" customWidth="1"/>
    <col min="19" max="19" width="11.140625" style="2" bestFit="1" customWidth="1"/>
    <col min="20" max="20" width="54" style="2" customWidth="1"/>
    <col min="21" max="21" width="57.5703125" style="2" bestFit="1" customWidth="1"/>
    <col min="22" max="22" width="13.140625" style="2" bestFit="1" customWidth="1"/>
    <col min="23" max="23" width="11.42578125" style="2"/>
    <col min="24" max="24" width="23.140625" style="2" bestFit="1" customWidth="1"/>
    <col min="25" max="16384" width="11.42578125" style="2"/>
  </cols>
  <sheetData>
    <row r="1" spans="2:27" ht="18.75" x14ac:dyDescent="0.2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1"/>
      <c r="U1" s="1"/>
    </row>
    <row r="2" spans="2:27" ht="18.75" x14ac:dyDescent="0.25"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1"/>
      <c r="U2" s="1"/>
      <c r="V2" s="1"/>
    </row>
    <row r="3" spans="2:27" ht="19.5" customHeight="1" x14ac:dyDescent="0.25">
      <c r="D3" s="4"/>
      <c r="E3" s="4"/>
      <c r="F3" s="4"/>
      <c r="G3" s="5"/>
      <c r="H3" s="4"/>
      <c r="I3" s="4"/>
      <c r="J3" s="4"/>
      <c r="K3" s="4"/>
      <c r="L3" s="5"/>
      <c r="M3" s="5"/>
      <c r="N3" s="6"/>
      <c r="O3" s="6"/>
      <c r="P3" s="6"/>
      <c r="Q3" s="5"/>
      <c r="R3" s="5"/>
      <c r="S3" s="4"/>
      <c r="T3" s="4"/>
      <c r="U3" s="4"/>
      <c r="V3" s="4"/>
    </row>
    <row r="4" spans="2:27" s="11" customFormat="1" ht="47.25" x14ac:dyDescent="0.25">
      <c r="B4" s="7" t="s">
        <v>2</v>
      </c>
      <c r="C4" s="8" t="s">
        <v>3</v>
      </c>
      <c r="D4" s="87" t="s">
        <v>4</v>
      </c>
      <c r="E4" s="88"/>
      <c r="F4" s="9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8" t="s">
        <v>17</v>
      </c>
    </row>
    <row r="5" spans="2:27" s="21" customFormat="1" x14ac:dyDescent="0.25">
      <c r="B5" s="12">
        <v>1</v>
      </c>
      <c r="C5" s="13">
        <v>1</v>
      </c>
      <c r="D5" s="80" t="s">
        <v>18</v>
      </c>
      <c r="E5" s="81" t="s">
        <v>18</v>
      </c>
      <c r="F5" s="14" t="s">
        <v>19</v>
      </c>
      <c r="G5" s="15">
        <v>70000</v>
      </c>
      <c r="H5" s="16">
        <f>IF(G5&gt;=[1]Datos!$D$14,([1]Datos!$D$14*[1]Datos!$C$14),IF(G5&lt;=[1]Datos!$D$14,(G5*[1]Datos!$C$14)))</f>
        <v>2009</v>
      </c>
      <c r="I5" s="17">
        <f>IF(G5&gt;=[1]Datos!$D$15,([1]Datos!$D$15*[1]Datos!$C$15),IF(G5&lt;=[1]Datos!$D$15,(G5*[1]Datos!$C$15)))</f>
        <v>2128</v>
      </c>
      <c r="J5" s="15"/>
      <c r="K5" s="15">
        <f t="shared" ref="K5:K33" si="0">+G5-(H5+I5+J5)</f>
        <v>65863</v>
      </c>
      <c r="L5" s="15">
        <f>IF(K5&lt;=[1]Datos!$G$7,"0",IF(K5&lt;=[1]Datos!$G$8,(K5-[1]Datos!$F$8)*[1]Datos!$I$6,IF(K5&lt;=[1]Datos!$G$9,[1]Datos!$I$8+(K5-[1]Datos!$F$9)*[1]Datos!$J$6,IF(K5&gt;=[1]Datos!$F$10,([1]Datos!$I$8+[1]Datos!$J$8)+(K5-[1]Datos!$F$10)*[1]Datos!$K$6))))</f>
        <v>5368.4756666666663</v>
      </c>
      <c r="M5" s="18">
        <v>1100.2424999999998</v>
      </c>
      <c r="N5" s="18">
        <v>0</v>
      </c>
      <c r="O5" s="18">
        <f t="shared" ref="O5:O11" si="1">+J5+M5+N5</f>
        <v>1100.2424999999998</v>
      </c>
      <c r="P5" s="18"/>
      <c r="Q5" s="15">
        <f>+H5+I5+L5+O5</f>
        <v>10605.718166666666</v>
      </c>
      <c r="R5" s="19">
        <f t="shared" ref="R5:R12" si="2">+G5-Q5</f>
        <v>59394.281833333334</v>
      </c>
      <c r="S5" s="20"/>
      <c r="AA5" s="22"/>
    </row>
    <row r="6" spans="2:27" s="21" customFormat="1" x14ac:dyDescent="0.25">
      <c r="B6" s="12"/>
      <c r="C6" s="13">
        <v>2</v>
      </c>
      <c r="D6" s="80" t="s">
        <v>20</v>
      </c>
      <c r="E6" s="81" t="s">
        <v>21</v>
      </c>
      <c r="F6" s="14" t="s">
        <v>22</v>
      </c>
      <c r="G6" s="15">
        <v>150000</v>
      </c>
      <c r="H6" s="16">
        <f>IF(G6&gt;=[1]Datos!$D$14,([1]Datos!$D$14*[1]Datos!$C$14),IF(G6&lt;=[1]Datos!$D$14,(G6*[1]Datos!$C$14)))</f>
        <v>4305</v>
      </c>
      <c r="I6" s="17">
        <f>IF(G6&gt;=[1]Datos!$D$15,([1]Datos!$D$15*[1]Datos!$C$15),IF(G6&lt;=[1]Datos!$D$15,(G6*[1]Datos!$C$15)))</f>
        <v>4560</v>
      </c>
      <c r="J6" s="15"/>
      <c r="K6" s="15">
        <f t="shared" si="0"/>
        <v>141135</v>
      </c>
      <c r="L6" s="15">
        <f>IF(K6&lt;=[1]Datos!$G$7,"0",IF(K6&lt;=[1]Datos!$G$8,(K6-[1]Datos!$F$8)*[1]Datos!$I$6,IF(K6&lt;=[1]Datos!$G$9,[1]Datos!$I$8+(K6-[1]Datos!$F$9)*[1]Datos!$J$6,IF(K6&gt;=[1]Datos!$F$10,([1]Datos!$I$8+[1]Datos!$J$8)+(K6-[1]Datos!$F$10)*[1]Datos!$K$6))))</f>
        <v>23866.610666666667</v>
      </c>
      <c r="M6" s="18">
        <v>0</v>
      </c>
      <c r="N6" s="18">
        <v>0</v>
      </c>
      <c r="O6" s="18">
        <f t="shared" si="1"/>
        <v>0</v>
      </c>
      <c r="P6" s="18"/>
      <c r="Q6" s="15">
        <f>+H6+I6+L6+O6</f>
        <v>32731.610666666667</v>
      </c>
      <c r="R6" s="23">
        <f t="shared" si="2"/>
        <v>117268.38933333333</v>
      </c>
      <c r="S6" s="20"/>
      <c r="AA6" s="22"/>
    </row>
    <row r="7" spans="2:27" s="21" customFormat="1" x14ac:dyDescent="0.25">
      <c r="B7" s="12"/>
      <c r="C7" s="13">
        <v>3</v>
      </c>
      <c r="D7" s="80" t="s">
        <v>23</v>
      </c>
      <c r="E7" s="81" t="s">
        <v>23</v>
      </c>
      <c r="F7" s="14" t="s">
        <v>22</v>
      </c>
      <c r="G7" s="15">
        <v>65000</v>
      </c>
      <c r="H7" s="16">
        <f>IF(G7&gt;=[1]Datos!$D$14,([1]Datos!$D$14*[1]Datos!$C$14),IF(G7&lt;=[1]Datos!$D$14,(G7*[1]Datos!$C$14)))</f>
        <v>1865.5</v>
      </c>
      <c r="I7" s="17">
        <f>IF(G7&gt;=[1]Datos!$D$15,([1]Datos!$D$15*[1]Datos!$C$15),IF(G7&lt;=[1]Datos!$D$15,(G7*[1]Datos!$C$15)))</f>
        <v>1976</v>
      </c>
      <c r="J7" s="15"/>
      <c r="K7" s="15">
        <f t="shared" si="0"/>
        <v>61158.5</v>
      </c>
      <c r="L7" s="15">
        <f>IF(K7&lt;=[1]Datos!$G$7,"0",IF(K7&lt;=[1]Datos!$G$8,(K7-[1]Datos!$F$8)*[1]Datos!$I$6,IF(K7&lt;=[1]Datos!$G$9,[1]Datos!$I$8+(K7-[1]Datos!$F$9)*[1]Datos!$J$6,IF(K7&gt;=[1]Datos!$F$10,([1]Datos!$I$8+[1]Datos!$J$8)+(K7-[1]Datos!$F$10)*[1]Datos!$K$6))))</f>
        <v>4427.5756666666657</v>
      </c>
      <c r="M7" s="18">
        <f>+'[2]CONTRATADO Octubre 2021'!$G$17</f>
        <v>1008.0660000000003</v>
      </c>
      <c r="N7" s="18">
        <v>0</v>
      </c>
      <c r="O7" s="18">
        <f t="shared" si="1"/>
        <v>1008.0660000000003</v>
      </c>
      <c r="P7" s="18"/>
      <c r="Q7" s="15">
        <f>+H7+I7+L7+O7</f>
        <v>9277.1416666666664</v>
      </c>
      <c r="R7" s="19">
        <f t="shared" si="2"/>
        <v>55722.858333333337</v>
      </c>
      <c r="S7" s="20"/>
      <c r="AA7" s="22"/>
    </row>
    <row r="8" spans="2:27" s="27" customFormat="1" x14ac:dyDescent="0.25">
      <c r="B8" s="24">
        <v>3</v>
      </c>
      <c r="C8" s="13">
        <v>4</v>
      </c>
      <c r="D8" s="80" t="s">
        <v>24</v>
      </c>
      <c r="E8" s="81" t="s">
        <v>24</v>
      </c>
      <c r="F8" s="25" t="s">
        <v>22</v>
      </c>
      <c r="G8" s="19">
        <v>50000</v>
      </c>
      <c r="H8" s="16">
        <f>IF(G8&gt;=[1]Datos!$D$14,([1]Datos!$D$14*[1]Datos!$C$14),IF(G8&lt;=[1]Datos!$D$14,(G8*[1]Datos!$C$14)))</f>
        <v>1435</v>
      </c>
      <c r="I8" s="16">
        <f>IF(G8&gt;=[1]Datos!$D$15,([1]Datos!$D$15*[1]Datos!$C$15),IF(G8&lt;=[1]Datos!$D$15,(G8*[1]Datos!$C$15)))</f>
        <v>1520</v>
      </c>
      <c r="J8" s="18"/>
      <c r="K8" s="19">
        <f t="shared" si="0"/>
        <v>47045</v>
      </c>
      <c r="L8" s="19">
        <f>IF(K8&lt;=[1]Datos!$G$7,"0",IF(K8&lt;=[1]Datos!$G$8,(K8-[1]Datos!$F$8)*[1]Datos!$I$6,IF(K8&lt;=[1]Datos!$G$9,[1]Datos!$I$8+(K8-[1]Datos!$F$9)*[1]Datos!$J$6,IF(K8&gt;=[1]Datos!$F$10,([1]Datos!$I$8+[1]Datos!$J$8)+(K8-[1]Datos!$F$10)*[1]Datos!$K$6))))</f>
        <v>1853.9984999999997</v>
      </c>
      <c r="M8" s="18">
        <v>6214.83</v>
      </c>
      <c r="N8" s="18">
        <v>0</v>
      </c>
      <c r="O8" s="18">
        <f t="shared" si="1"/>
        <v>6214.83</v>
      </c>
      <c r="P8" s="18"/>
      <c r="Q8" s="19">
        <f>+H8+I8+L8+O8-P8</f>
        <v>11023.8285</v>
      </c>
      <c r="R8" s="19">
        <f t="shared" si="2"/>
        <v>38976.171499999997</v>
      </c>
      <c r="S8" s="26"/>
    </row>
    <row r="9" spans="2:27" s="27" customFormat="1" x14ac:dyDescent="0.25">
      <c r="B9" s="24">
        <v>7</v>
      </c>
      <c r="C9" s="13">
        <v>5</v>
      </c>
      <c r="D9" s="71" t="s">
        <v>25</v>
      </c>
      <c r="E9" s="72" t="s">
        <v>25</v>
      </c>
      <c r="F9" s="28" t="s">
        <v>22</v>
      </c>
      <c r="G9" s="19">
        <v>135000</v>
      </c>
      <c r="H9" s="16">
        <f>IF(G9&gt;=[1]Datos!$D$14,([1]Datos!$D$14*[1]Datos!$C$14),IF(G9&lt;=[1]Datos!$D$14,(G9*[1]Datos!$C$14)))</f>
        <v>3874.5</v>
      </c>
      <c r="I9" s="16">
        <f>IF(G9&gt;=[1]Datos!$D$15,([1]Datos!$D$15*[1]Datos!$C$15),IF(G9&lt;=[1]Datos!$D$15,(G9*[1]Datos!$C$15)))</f>
        <v>4104</v>
      </c>
      <c r="J9" s="18"/>
      <c r="K9" s="19">
        <f t="shared" si="0"/>
        <v>127021.5</v>
      </c>
      <c r="L9" s="19">
        <f>IF(K9&lt;=[1]Datos!$G$7,"0",IF(K9&lt;=[1]Datos!$G$8,(K9-[1]Datos!$F$8)*[1]Datos!$I$6,IF(K9&lt;=[1]Datos!$G$9,[1]Datos!$I$8+(K9-[1]Datos!$F$9)*[1]Datos!$J$6,IF(K9&gt;=[1]Datos!$F$10,([1]Datos!$I$8+[1]Datos!$J$8)+(K9-[1]Datos!$F$10)*[1]Datos!$K$6))))</f>
        <v>20338.235666666667</v>
      </c>
      <c r="M9" s="19">
        <v>0</v>
      </c>
      <c r="N9" s="18">
        <v>0</v>
      </c>
      <c r="O9" s="18">
        <f t="shared" si="1"/>
        <v>0</v>
      </c>
      <c r="P9" s="18"/>
      <c r="Q9" s="19">
        <f>+H9+I9+L9+O9-P9</f>
        <v>28316.735666666667</v>
      </c>
      <c r="R9" s="19">
        <f t="shared" si="2"/>
        <v>106683.26433333333</v>
      </c>
      <c r="S9" s="26"/>
    </row>
    <row r="10" spans="2:27" s="21" customFormat="1" x14ac:dyDescent="0.25">
      <c r="B10" s="12">
        <v>9</v>
      </c>
      <c r="C10" s="13">
        <v>6</v>
      </c>
      <c r="D10" s="71" t="s">
        <v>26</v>
      </c>
      <c r="E10" s="72" t="s">
        <v>26</v>
      </c>
      <c r="F10" s="28" t="s">
        <v>22</v>
      </c>
      <c r="G10" s="15">
        <v>60000</v>
      </c>
      <c r="H10" s="16">
        <f>IF(G10&gt;=[1]Datos!$D$14,([1]Datos!$D$14*[1]Datos!$C$14),IF(G10&lt;=[1]Datos!$D$14,(G10*[1]Datos!$C$14)))</f>
        <v>1722</v>
      </c>
      <c r="I10" s="17">
        <v>1824</v>
      </c>
      <c r="J10" s="29">
        <v>1350.12</v>
      </c>
      <c r="K10" s="15">
        <f t="shared" si="0"/>
        <v>55103.88</v>
      </c>
      <c r="L10" s="15">
        <f>IF(K10&lt;=[1]Datos!$G$7,"0",IF(K10&lt;=[1]Datos!$G$8,(K10-[1]Datos!$F$8)*[1]Datos!$I$6,IF(K10&lt;=[1]Datos!$G$9,[1]Datos!$I$8+(K10-[1]Datos!$F$9)*[1]Datos!$J$6,IF(K10&gt;=[1]Datos!$F$10,([1]Datos!$I$8+[1]Datos!$J$8)+(K10-[1]Datos!$F$10)*[1]Datos!$K$6))))</f>
        <v>3216.6516666666657</v>
      </c>
      <c r="M10" s="18">
        <v>2450.5</v>
      </c>
      <c r="N10" s="18">
        <v>0</v>
      </c>
      <c r="O10" s="18">
        <f t="shared" si="1"/>
        <v>3800.62</v>
      </c>
      <c r="P10" s="18"/>
      <c r="Q10" s="15">
        <f>+H10+I10+L10+O10</f>
        <v>10563.271666666666</v>
      </c>
      <c r="R10" s="30">
        <f t="shared" si="2"/>
        <v>49436.728333333333</v>
      </c>
      <c r="S10" s="20"/>
    </row>
    <row r="11" spans="2:27" s="36" customFormat="1" x14ac:dyDescent="0.25">
      <c r="B11" s="31"/>
      <c r="C11" s="13">
        <v>7</v>
      </c>
      <c r="D11" s="71" t="s">
        <v>27</v>
      </c>
      <c r="E11" s="72" t="s">
        <v>27</v>
      </c>
      <c r="F11" s="32" t="s">
        <v>19</v>
      </c>
      <c r="G11" s="33">
        <v>65000</v>
      </c>
      <c r="H11" s="33">
        <v>1865.5</v>
      </c>
      <c r="I11" s="33">
        <v>1976</v>
      </c>
      <c r="J11" s="32"/>
      <c r="K11" s="34">
        <f t="shared" si="0"/>
        <v>61158.5</v>
      </c>
      <c r="L11" s="33">
        <f>IF(K11&lt;=[1]Datos!$G$7,"0",IF(K11&lt;=[1]Datos!$G$8,(K11-[1]Datos!$F$8)*[1]Datos!$I$6,IF(K11&lt;=[1]Datos!$G$9,[1]Datos!$I$8+(K11-[1]Datos!$F$9)*[1]Datos!$J$6,IF(K11&gt;=[1]Datos!$F$10,([1]Datos!$I$8+[1]Datos!$J$8)+(K11-[1]Datos!$F$10)*[1]Datos!$K$6))))</f>
        <v>4427.5756666666657</v>
      </c>
      <c r="M11" s="35"/>
      <c r="N11" s="33">
        <v>0</v>
      </c>
      <c r="O11" s="34">
        <f t="shared" si="1"/>
        <v>0</v>
      </c>
      <c r="P11" s="32"/>
      <c r="Q11" s="34">
        <f>+H11+I11+L11+O11-P11</f>
        <v>8269.0756666666657</v>
      </c>
      <c r="R11" s="34">
        <f t="shared" si="2"/>
        <v>56730.924333333336</v>
      </c>
    </row>
    <row r="12" spans="2:27" s="36" customFormat="1" x14ac:dyDescent="0.25">
      <c r="B12" s="32">
        <v>4</v>
      </c>
      <c r="C12" s="13">
        <v>8</v>
      </c>
      <c r="D12" s="84" t="s">
        <v>28</v>
      </c>
      <c r="E12" s="85" t="s">
        <v>28</v>
      </c>
      <c r="F12" s="37" t="s">
        <v>22</v>
      </c>
      <c r="G12" s="23">
        <v>115000</v>
      </c>
      <c r="H12" s="38">
        <f>IF(G12&gt;=[1]Datos!$D$14,([1]Datos!$D$14*[1]Datos!$C$14),IF(G12&lt;=[1]Datos!$D$14,(G12*[1]Datos!$C$14)))</f>
        <v>3300.5</v>
      </c>
      <c r="I12" s="38">
        <f>IF(G12&gt;=[1]Datos!$D$15,([1]Datos!$D$15*[1]Datos!$C$15),IF(G12&lt;=[1]Datos!$D$15,(G12*[1]Datos!$C$15)))</f>
        <v>3496</v>
      </c>
      <c r="J12" s="39"/>
      <c r="K12" s="23">
        <f t="shared" si="0"/>
        <v>108203.5</v>
      </c>
      <c r="L12" s="23">
        <f>IF(K12&lt;=[1]Datos!$G$7,"0",IF(K12&lt;=[1]Datos!$G$8,(K12-[1]Datos!$F$8)*[1]Datos!$I$6,IF(K12&lt;=[1]Datos!$G$9,[1]Datos!$I$8+(K12-[1]Datos!$F$9)*[1]Datos!$J$6,IF(K12&gt;=[1]Datos!$F$10,([1]Datos!$I$8+[1]Datos!$J$8)+(K12-[1]Datos!$F$10)*[1]Datos!$K$6))))</f>
        <v>15633.735666666667</v>
      </c>
      <c r="M12" s="39">
        <v>7466.33</v>
      </c>
      <c r="N12" s="39">
        <v>25</v>
      </c>
      <c r="O12" s="39">
        <v>11533.17</v>
      </c>
      <c r="P12" s="39"/>
      <c r="Q12" s="23">
        <f>+H12+I12+L12+O12-P12</f>
        <v>33963.405666666666</v>
      </c>
      <c r="R12" s="23">
        <f t="shared" si="2"/>
        <v>81036.594333333342</v>
      </c>
      <c r="S12" s="40"/>
    </row>
    <row r="13" spans="2:27" s="27" customFormat="1" x14ac:dyDescent="0.25">
      <c r="B13" s="24">
        <v>7</v>
      </c>
      <c r="C13" s="13">
        <v>9</v>
      </c>
      <c r="D13" s="71" t="s">
        <v>29</v>
      </c>
      <c r="E13" s="72" t="s">
        <v>29</v>
      </c>
      <c r="F13" s="28" t="s">
        <v>19</v>
      </c>
      <c r="G13" s="19">
        <v>100000</v>
      </c>
      <c r="H13" s="16">
        <v>2870</v>
      </c>
      <c r="I13" s="16">
        <v>3040</v>
      </c>
      <c r="J13" s="18"/>
      <c r="K13" s="19">
        <f t="shared" si="0"/>
        <v>94090</v>
      </c>
      <c r="L13" s="19">
        <f>IF(K13&lt;=[1]Datos!$G$7,"0",IF(K13&lt;=[1]Datos!$G$8,(K13-[1]Datos!$F$8)*[1]Datos!$I$6,IF(K13&lt;=[1]Datos!$G$9,[1]Datos!$I$8+(K13-[1]Datos!$F$9)*[1]Datos!$J$6,IF(K13&gt;=[1]Datos!$F$10,([1]Datos!$I$8+[1]Datos!$J$8)+(K13-[1]Datos!$F$10)*[1]Datos!$K$6))))</f>
        <v>12105.360666666667</v>
      </c>
      <c r="M13" s="19"/>
      <c r="N13" s="18">
        <v>0</v>
      </c>
      <c r="O13" s="18">
        <f t="shared" ref="O13:O30" si="3">+J13+M13+N13</f>
        <v>0</v>
      </c>
      <c r="P13" s="18"/>
      <c r="Q13" s="19">
        <f>+H13+I13+L13+O13-P13</f>
        <v>18015.360666666667</v>
      </c>
      <c r="R13" s="19">
        <f>+G13-Q13-0.01</f>
        <v>81984.629333333331</v>
      </c>
      <c r="S13" s="26"/>
    </row>
    <row r="14" spans="2:27" s="27" customFormat="1" x14ac:dyDescent="0.25">
      <c r="B14" s="24">
        <v>4</v>
      </c>
      <c r="C14" s="13">
        <v>10</v>
      </c>
      <c r="D14" s="82" t="s">
        <v>30</v>
      </c>
      <c r="E14" s="83" t="s">
        <v>30</v>
      </c>
      <c r="F14" s="25" t="s">
        <v>22</v>
      </c>
      <c r="G14" s="19">
        <v>90000</v>
      </c>
      <c r="H14" s="16">
        <f>IF(G14&gt;=[1]Datos!$D$14,([1]Datos!$D$14*[1]Datos!$C$14),IF(G14&lt;=[1]Datos!$D$14,(G14*[1]Datos!$C$14)))</f>
        <v>2583</v>
      </c>
      <c r="I14" s="16">
        <f>IF(G14&gt;=[1]Datos!$D$15,([1]Datos!$D$15*[1]Datos!$C$15),IF(G14&lt;=[1]Datos!$D$15,(G14*[1]Datos!$C$15)))</f>
        <v>2736</v>
      </c>
      <c r="J14" s="18"/>
      <c r="K14" s="19">
        <f t="shared" si="0"/>
        <v>84681</v>
      </c>
      <c r="L14" s="19">
        <f>IF(K14&lt;=[1]Datos!$G$7,"0",IF(K14&lt;=[1]Datos!$G$8,(K14-[1]Datos!$F$8)*[1]Datos!$I$6,IF(K14&lt;=[1]Datos!$G$9,[1]Datos!$I$8+(K14-[1]Datos!$F$9)*[1]Datos!$J$6,IF(K14&gt;=[1]Datos!$F$10,([1]Datos!$I$8+[1]Datos!$J$8)+(K14-[1]Datos!$F$10)*[1]Datos!$K$6))))</f>
        <v>9753.1106666666674</v>
      </c>
      <c r="M14" s="18">
        <v>478.81</v>
      </c>
      <c r="N14" s="18">
        <v>0</v>
      </c>
      <c r="O14" s="18">
        <f t="shared" si="3"/>
        <v>478.81</v>
      </c>
      <c r="P14" s="18"/>
      <c r="Q14" s="19">
        <f>+H14+I14+L14+O14-P14</f>
        <v>15550.920666666667</v>
      </c>
      <c r="R14" s="19">
        <f>+G14-Q14-0.01</f>
        <v>74449.069333333333</v>
      </c>
    </row>
    <row r="15" spans="2:27" s="21" customFormat="1" x14ac:dyDescent="0.25">
      <c r="B15" s="12">
        <v>10</v>
      </c>
      <c r="C15" s="13">
        <v>11</v>
      </c>
      <c r="D15" s="71" t="s">
        <v>31</v>
      </c>
      <c r="E15" s="72" t="s">
        <v>31</v>
      </c>
      <c r="F15" s="28" t="s">
        <v>19</v>
      </c>
      <c r="G15" s="19">
        <v>105000</v>
      </c>
      <c r="H15" s="16">
        <f>IF(G15&gt;=[1]Datos!$D$14,([1]Datos!$D$14*[1]Datos!$C$14),IF(G15&lt;=[1]Datos!$D$14,(G15*[1]Datos!$C$14)))</f>
        <v>3013.5</v>
      </c>
      <c r="I15" s="17">
        <f>IF(G15&gt;=[1]Datos!$D$15,([1]Datos!$D$15*[1]Datos!$C$15),IF(G15&lt;=[1]Datos!$D$15,(G15*[1]Datos!$C$15)))</f>
        <v>3192</v>
      </c>
      <c r="J15" s="15"/>
      <c r="K15" s="15">
        <f t="shared" si="0"/>
        <v>98794.5</v>
      </c>
      <c r="L15" s="15">
        <f>IF(K15&lt;=[1]Datos!$G$7,"0",IF(K15&lt;=[1]Datos!$G$8,(K15-[1]Datos!$F$8)*[1]Datos!$I$6,IF(K15&lt;=[1]Datos!$G$9,[1]Datos!$I$8+(K15-[1]Datos!$F$9)*[1]Datos!$J$6,IF(K15&gt;=[1]Datos!$F$10,([1]Datos!$I$8+[1]Datos!$J$8)+(K15-[1]Datos!$F$10)*[1]Datos!$K$6))))</f>
        <v>13281.485666666667</v>
      </c>
      <c r="M15" s="19"/>
      <c r="N15" s="18"/>
      <c r="O15" s="18">
        <f t="shared" si="3"/>
        <v>0</v>
      </c>
      <c r="P15" s="18"/>
      <c r="Q15" s="15">
        <f t="shared" ref="Q15:Q21" si="4">+H15+I15+L15+O15</f>
        <v>19486.985666666667</v>
      </c>
      <c r="R15" s="19">
        <f>+G15-Q15</f>
        <v>85513.014333333325</v>
      </c>
      <c r="S15" s="20"/>
    </row>
    <row r="16" spans="2:27" s="21" customFormat="1" x14ac:dyDescent="0.25">
      <c r="B16" s="12">
        <v>10</v>
      </c>
      <c r="C16" s="13">
        <v>12</v>
      </c>
      <c r="D16" s="71" t="s">
        <v>32</v>
      </c>
      <c r="E16" s="72" t="s">
        <v>33</v>
      </c>
      <c r="F16" s="28" t="s">
        <v>22</v>
      </c>
      <c r="G16" s="19">
        <v>150000</v>
      </c>
      <c r="H16" s="16">
        <f>IF(G16&gt;=[1]Datos!$D$14,([1]Datos!$D$14*[1]Datos!$C$14),IF(G16&lt;=[1]Datos!$D$14,(G16*[1]Datos!$C$14)))</f>
        <v>4305</v>
      </c>
      <c r="I16" s="17">
        <f>IF(G16&gt;=[1]Datos!$D$15,([1]Datos!$D$15*[1]Datos!$C$15),IF(G16&lt;=[1]Datos!$D$15,(G16*[1]Datos!$C$15)))</f>
        <v>4560</v>
      </c>
      <c r="J16" s="15"/>
      <c r="K16" s="15">
        <f t="shared" si="0"/>
        <v>141135</v>
      </c>
      <c r="L16" s="15">
        <f>IF(K16&lt;=[1]Datos!$G$7,"0",IF(K16&lt;=[1]Datos!$G$8,(K16-[1]Datos!$F$8)*[1]Datos!$I$6,IF(K16&lt;=[1]Datos!$G$9,[1]Datos!$I$8+(K16-[1]Datos!$F$9)*[1]Datos!$J$6,IF(K16&gt;=[1]Datos!$F$10,([1]Datos!$I$8+[1]Datos!$J$8)+(K16-[1]Datos!$F$10)*[1]Datos!$K$6))))</f>
        <v>23866.610666666667</v>
      </c>
      <c r="M16" s="19"/>
      <c r="N16" s="18"/>
      <c r="O16" s="18">
        <f t="shared" si="3"/>
        <v>0</v>
      </c>
      <c r="P16" s="18"/>
      <c r="Q16" s="15">
        <f t="shared" si="4"/>
        <v>32731.610666666667</v>
      </c>
      <c r="R16" s="19">
        <f>+G16-Q16-0.01</f>
        <v>117268.37933333333</v>
      </c>
      <c r="S16" s="20"/>
    </row>
    <row r="17" spans="2:19" s="21" customFormat="1" x14ac:dyDescent="0.25">
      <c r="B17" s="12">
        <v>10</v>
      </c>
      <c r="C17" s="13">
        <v>13</v>
      </c>
      <c r="D17" s="71" t="s">
        <v>34</v>
      </c>
      <c r="E17" s="72" t="s">
        <v>34</v>
      </c>
      <c r="F17" s="28" t="s">
        <v>22</v>
      </c>
      <c r="G17" s="19">
        <v>65000</v>
      </c>
      <c r="H17" s="16">
        <f>IF(G17&gt;=[1]Datos!$D$14,([1]Datos!$D$14*[1]Datos!$C$14),IF(G17&lt;=[1]Datos!$D$14,(G17*[1]Datos!$C$14)))</f>
        <v>1865.5</v>
      </c>
      <c r="I17" s="17">
        <f>IF(G17&gt;=[1]Datos!$D$15,([1]Datos!$D$15*[1]Datos!$C$15),IF(G17&lt;=[1]Datos!$D$15,(G17*[1]Datos!$C$15)))</f>
        <v>1976</v>
      </c>
      <c r="J17" s="15"/>
      <c r="K17" s="15">
        <f t="shared" si="0"/>
        <v>61158.5</v>
      </c>
      <c r="L17" s="15">
        <f>IF(K17&lt;=[1]Datos!$G$7,"0",IF(K17&lt;=[1]Datos!$G$8,(K17-[1]Datos!$F$8)*[1]Datos!$I$6,IF(K17&lt;=[1]Datos!$G$9,[1]Datos!$I$8+(K17-[1]Datos!$F$9)*[1]Datos!$J$6,IF(K17&gt;=[1]Datos!$F$10,([1]Datos!$I$8+[1]Datos!$J$8)+(K17-[1]Datos!$F$10)*[1]Datos!$K$6))))</f>
        <v>4427.5756666666657</v>
      </c>
      <c r="M17" s="19">
        <v>513.77</v>
      </c>
      <c r="N17" s="18"/>
      <c r="O17" s="18">
        <f t="shared" si="3"/>
        <v>513.77</v>
      </c>
      <c r="P17" s="18"/>
      <c r="Q17" s="15">
        <f t="shared" si="4"/>
        <v>8782.8456666666661</v>
      </c>
      <c r="R17" s="19">
        <f>+G17-Q17</f>
        <v>56217.154333333332</v>
      </c>
      <c r="S17" s="20"/>
    </row>
    <row r="18" spans="2:19" s="21" customFormat="1" x14ac:dyDescent="0.25">
      <c r="B18" s="13">
        <v>11</v>
      </c>
      <c r="C18" s="13">
        <v>14</v>
      </c>
      <c r="D18" s="71" t="s">
        <v>35</v>
      </c>
      <c r="E18" s="72" t="s">
        <v>35</v>
      </c>
      <c r="F18" s="41" t="s">
        <v>19</v>
      </c>
      <c r="G18" s="42">
        <v>43000</v>
      </c>
      <c r="H18" s="43">
        <f>IF(G18&gt;=[1]Datos!$D$14,([1]Datos!$D$14*[1]Datos!$C$14),IF(G18&lt;=[1]Datos!$D$14,(G18*[1]Datos!$C$14)))</f>
        <v>1234.0999999999999</v>
      </c>
      <c r="I18" s="44">
        <f>IF(G18&gt;=[1]Datos!$D$15,([1]Datos!$D$15*[1]Datos!$C$15),IF(G18&lt;=[1]Datos!$D$15,(G18*[1]Datos!$C$15)))</f>
        <v>1307.2</v>
      </c>
      <c r="J18" s="29">
        <v>1350.12</v>
      </c>
      <c r="K18" s="42">
        <f t="shared" si="0"/>
        <v>39108.58</v>
      </c>
      <c r="L18" s="42">
        <f>IF(K18&lt;=[1]Datos!$G$7,"0",IF(K18&lt;=[1]Datos!$G$8,(K18-[1]Datos!$F$8)*[1]Datos!$I$6,IF(K18&lt;=[1]Datos!$G$9,[1]Datos!$I$8+(K18-[1]Datos!$F$9)*[1]Datos!$J$6,IF(K18&gt;=[1]Datos!$F$10,([1]Datos!$I$8+[1]Datos!$J$8)+(K18-[1]Datos!$F$10)*[1]Datos!$K$6))))</f>
        <v>663.53549999999996</v>
      </c>
      <c r="M18" s="29"/>
      <c r="N18" s="29"/>
      <c r="O18" s="18">
        <f t="shared" si="3"/>
        <v>1350.12</v>
      </c>
      <c r="P18" s="29"/>
      <c r="Q18" s="15">
        <f t="shared" si="4"/>
        <v>4554.9555</v>
      </c>
      <c r="R18" s="45">
        <f>+G18-Q18</f>
        <v>38445.044500000004</v>
      </c>
      <c r="S18" s="20"/>
    </row>
    <row r="19" spans="2:19" s="21" customFormat="1" x14ac:dyDescent="0.25">
      <c r="B19" s="12">
        <v>12</v>
      </c>
      <c r="C19" s="13">
        <v>15</v>
      </c>
      <c r="D19" s="71" t="s">
        <v>36</v>
      </c>
      <c r="E19" s="72" t="s">
        <v>36</v>
      </c>
      <c r="F19" s="28" t="s">
        <v>19</v>
      </c>
      <c r="G19" s="15">
        <v>150000</v>
      </c>
      <c r="H19" s="16">
        <f>IF(G19&gt;=[1]Datos!$D$14,([1]Datos!$D$14*[1]Datos!$C$14),IF(G19&lt;=[1]Datos!$D$14,(G19*[1]Datos!$C$14)))</f>
        <v>4305</v>
      </c>
      <c r="I19" s="17">
        <f>IF(G19&gt;=[1]Datos!$D$15,([1]Datos!$D$15*[1]Datos!$C$15),IF(G19&lt;=[1]Datos!$D$15,(G19*[1]Datos!$C$15)))</f>
        <v>4560</v>
      </c>
      <c r="J19" s="46"/>
      <c r="K19" s="15">
        <f t="shared" si="0"/>
        <v>141135</v>
      </c>
      <c r="L19" s="15">
        <f>IF(K19&lt;=[1]Datos!$G$7,"0",IF(K19&lt;=[1]Datos!$G$8,(K19-[1]Datos!$F$8)*[1]Datos!$I$6,IF(K19&lt;=[1]Datos!$G$9,[1]Datos!$I$8+(K19-[1]Datos!$F$9)*[1]Datos!$J$6,IF(K19&gt;=[1]Datos!$F$10,([1]Datos!$I$8+[1]Datos!$J$8)+(K19-[1]Datos!$F$10)*[1]Datos!$K$6))))</f>
        <v>23866.610666666667</v>
      </c>
      <c r="M19" s="18">
        <v>0</v>
      </c>
      <c r="N19" s="18"/>
      <c r="O19" s="18">
        <f t="shared" si="3"/>
        <v>0</v>
      </c>
      <c r="P19" s="18"/>
      <c r="Q19" s="15">
        <f t="shared" si="4"/>
        <v>32731.610666666667</v>
      </c>
      <c r="R19" s="19">
        <f>+G19-Q19-0.01</f>
        <v>117268.37933333333</v>
      </c>
      <c r="S19" s="20"/>
    </row>
    <row r="20" spans="2:19" s="21" customFormat="1" x14ac:dyDescent="0.25">
      <c r="B20" s="12">
        <v>13</v>
      </c>
      <c r="C20" s="13">
        <v>16</v>
      </c>
      <c r="D20" s="71" t="s">
        <v>35</v>
      </c>
      <c r="E20" s="72" t="s">
        <v>35</v>
      </c>
      <c r="F20" s="24" t="s">
        <v>22</v>
      </c>
      <c r="G20" s="15">
        <v>45000</v>
      </c>
      <c r="H20" s="16">
        <f>IF(G20&gt;=[1]Datos!$D$14,([1]Datos!$D$14*[1]Datos!$C$14),IF(G20&lt;=[1]Datos!$D$14,(G20*[1]Datos!$C$14)))</f>
        <v>1291.5</v>
      </c>
      <c r="I20" s="17">
        <f>IF(G20&gt;=[1]Datos!$D$15,([1]Datos!$D$15*[1]Datos!$C$15),IF(G20&lt;=[1]Datos!$D$15,(G20*[1]Datos!$C$15)))</f>
        <v>1368</v>
      </c>
      <c r="J20" s="46"/>
      <c r="K20" s="15">
        <f t="shared" si="0"/>
        <v>42340.5</v>
      </c>
      <c r="L20" s="15">
        <f>IF(K20&lt;=[1]Datos!$G$7,"0",IF(K20&lt;=[1]Datos!$G$8,(K20-[1]Datos!$F$8)*[1]Datos!$I$6,IF(K20&lt;=[1]Datos!$G$9,[1]Datos!$I$8+(K20-[1]Datos!$F$9)*[1]Datos!$J$6,IF(K20&gt;=[1]Datos!$F$10,([1]Datos!$I$8+[1]Datos!$J$8)+(K20-[1]Datos!$F$10)*[1]Datos!$K$6))))</f>
        <v>1148.3234999999997</v>
      </c>
      <c r="M20" s="18">
        <v>366.75</v>
      </c>
      <c r="N20" s="18"/>
      <c r="O20" s="18">
        <f t="shared" si="3"/>
        <v>366.75</v>
      </c>
      <c r="P20" s="18"/>
      <c r="Q20" s="15">
        <f t="shared" si="4"/>
        <v>4174.5734999999995</v>
      </c>
      <c r="R20" s="19">
        <f>+G20-Q20-0.01</f>
        <v>40825.416499999999</v>
      </c>
      <c r="S20" s="20"/>
    </row>
    <row r="21" spans="2:19" s="21" customFormat="1" x14ac:dyDescent="0.25">
      <c r="B21" s="12">
        <v>4</v>
      </c>
      <c r="C21" s="13">
        <v>17</v>
      </c>
      <c r="D21" s="71" t="s">
        <v>35</v>
      </c>
      <c r="E21" s="72" t="s">
        <v>35</v>
      </c>
      <c r="F21" s="24" t="s">
        <v>19</v>
      </c>
      <c r="G21" s="47">
        <v>41000</v>
      </c>
      <c r="H21" s="16">
        <f>IF(G21&gt;=[1]Datos!$D$14,([1]Datos!$D$14*[1]Datos!$C$14),IF(G21&lt;=[1]Datos!$D$14,(G21*[1]Datos!$C$14)))</f>
        <v>1176.7</v>
      </c>
      <c r="I21" s="17">
        <f>IF(G21&gt;=[1]Datos!$D$15,([1]Datos!$D$15*[1]Datos!$C$15),IF(G21&lt;=[1]Datos!$D$15,(G21*[1]Datos!$C$15)))</f>
        <v>1246.4000000000001</v>
      </c>
      <c r="J21" s="46"/>
      <c r="K21" s="15">
        <f t="shared" si="0"/>
        <v>38576.9</v>
      </c>
      <c r="L21" s="15">
        <f>IF(K21&lt;=[1]Datos!$G$7,"0",IF(K21&lt;=[1]Datos!$G$8,(K21-[1]Datos!$F$8)*[1]Datos!$I$6,IF(K21&lt;=[1]Datos!$G$9,[1]Datos!$I$8+(K21-[1]Datos!$F$9)*[1]Datos!$J$6,IF(K21&gt;=[1]Datos!$F$10,([1]Datos!$I$8+[1]Datos!$J$8)+(K21-[1]Datos!$F$10)*[1]Datos!$K$6))))</f>
        <v>583.78349999999989</v>
      </c>
      <c r="M21" s="18"/>
      <c r="N21" s="18"/>
      <c r="O21" s="18">
        <f t="shared" si="3"/>
        <v>0</v>
      </c>
      <c r="P21" s="18"/>
      <c r="Q21" s="15">
        <f t="shared" si="4"/>
        <v>3006.8835000000004</v>
      </c>
      <c r="R21" s="19">
        <f>+G21-Q21-0.01</f>
        <v>37993.106499999994</v>
      </c>
      <c r="S21" s="20"/>
    </row>
    <row r="22" spans="2:19" s="21" customFormat="1" x14ac:dyDescent="0.25">
      <c r="B22" s="12">
        <v>5</v>
      </c>
      <c r="C22" s="13">
        <v>18</v>
      </c>
      <c r="D22" s="80" t="s">
        <v>35</v>
      </c>
      <c r="E22" s="81" t="s">
        <v>35</v>
      </c>
      <c r="F22" s="14" t="s">
        <v>19</v>
      </c>
      <c r="G22" s="15">
        <v>48000</v>
      </c>
      <c r="H22" s="16">
        <f>IF(G22&gt;=[1]Datos!$D$14,([1]Datos!$D$14*[1]Datos!$C$14),IF(G22&lt;=[1]Datos!$D$14,(G22*[1]Datos!$C$14)))</f>
        <v>1377.6</v>
      </c>
      <c r="I22" s="17">
        <f>IF(G22&gt;=[1]Datos!$D$15,([1]Datos!$D$15*[1]Datos!$C$15),IF(G22&lt;=[1]Datos!$D$15,(G22*[1]Datos!$C$15)))</f>
        <v>1459.2</v>
      </c>
      <c r="J22" s="46"/>
      <c r="K22" s="15">
        <f t="shared" si="0"/>
        <v>45163.199999999997</v>
      </c>
      <c r="L22" s="15">
        <f>IF(K22&lt;=[1]Datos!$G$7,"0",IF(K22&lt;=[1]Datos!$G$8,(K22-[1]Datos!$F$8)*[1]Datos!$I$6,IF(K22&lt;=[1]Datos!$G$9,[1]Datos!$I$8+(K22-[1]Datos!$F$9)*[1]Datos!$J$6,IF(K22&gt;=[1]Datos!$F$10,([1]Datos!$I$8+[1]Datos!$J$8)+(K22-[1]Datos!$F$10)*[1]Datos!$K$6))))</f>
        <v>1571.7284999999993</v>
      </c>
      <c r="M22" s="18"/>
      <c r="N22" s="18"/>
      <c r="O22" s="18">
        <f t="shared" si="3"/>
        <v>0</v>
      </c>
      <c r="P22" s="18"/>
      <c r="Q22" s="15">
        <f>+H22+I22+L22+O22-P22</f>
        <v>4408.5284999999994</v>
      </c>
      <c r="R22" s="19">
        <f>+G22-Q22</f>
        <v>43591.4715</v>
      </c>
      <c r="S22" s="20"/>
    </row>
    <row r="23" spans="2:19" s="21" customFormat="1" x14ac:dyDescent="0.25">
      <c r="B23" s="12">
        <v>15</v>
      </c>
      <c r="C23" s="13">
        <v>19</v>
      </c>
      <c r="D23" s="71" t="s">
        <v>37</v>
      </c>
      <c r="E23" s="72" t="s">
        <v>37</v>
      </c>
      <c r="F23" s="28" t="s">
        <v>19</v>
      </c>
      <c r="G23" s="19">
        <v>165000</v>
      </c>
      <c r="H23" s="16">
        <f>IF(G23&gt;=[1]Datos!$D$14,([1]Datos!$D$14*[1]Datos!$C$14),IF(G23&lt;=[1]Datos!$D$14,(G23*[1]Datos!$C$14)))</f>
        <v>4735.5</v>
      </c>
      <c r="I23" s="17">
        <v>4943.8</v>
      </c>
      <c r="J23" s="18"/>
      <c r="K23" s="15">
        <f t="shared" si="0"/>
        <v>155320.70000000001</v>
      </c>
      <c r="L23" s="15">
        <v>27413.040000000001</v>
      </c>
      <c r="M23" s="18">
        <v>0</v>
      </c>
      <c r="N23" s="18"/>
      <c r="O23" s="18">
        <f t="shared" si="3"/>
        <v>0</v>
      </c>
      <c r="P23" s="18"/>
      <c r="Q23" s="15">
        <f>+H23+I23+L23+O23</f>
        <v>37092.339999999997</v>
      </c>
      <c r="R23" s="19">
        <f>+G23-Q23-0.01</f>
        <v>127907.65000000001</v>
      </c>
      <c r="S23" s="20"/>
    </row>
    <row r="24" spans="2:19" s="21" customFormat="1" x14ac:dyDescent="0.25">
      <c r="B24" s="12">
        <v>18</v>
      </c>
      <c r="C24" s="13">
        <v>20</v>
      </c>
      <c r="D24" s="71" t="s">
        <v>38</v>
      </c>
      <c r="E24" s="72" t="s">
        <v>38</v>
      </c>
      <c r="F24" s="48" t="s">
        <v>19</v>
      </c>
      <c r="G24" s="47">
        <v>71000</v>
      </c>
      <c r="H24" s="16">
        <f>IF(G24&gt;=[1]Datos!$D$14,([1]Datos!$D$14*[1]Datos!$C$14),IF(G24&lt;=[1]Datos!$D$14,(G24*[1]Datos!$C$14)))</f>
        <v>2037.7</v>
      </c>
      <c r="I24" s="17">
        <f>IF(G24&gt;=[1]Datos!$D$15,([1]Datos!$D$15*[1]Datos!$C$15),IF(G24&lt;=[1]Datos!$D$15,(G24*[1]Datos!$C$15)))</f>
        <v>2158.4</v>
      </c>
      <c r="J24" s="46"/>
      <c r="K24" s="15">
        <f t="shared" si="0"/>
        <v>66803.899999999994</v>
      </c>
      <c r="L24" s="15">
        <f>IF(K24&lt;=[1]Datos!$G$7,"0",IF(K24&lt;=[1]Datos!$G$8,(K24-[1]Datos!$F$8)*[1]Datos!$I$6,IF(K24&lt;=[1]Datos!$G$9,[1]Datos!$I$8+(K24-[1]Datos!$F$9)*[1]Datos!$J$6,IF(K24&gt;=[1]Datos!$F$10,([1]Datos!$I$8+[1]Datos!$J$8)+(K24-[1]Datos!$F$10)*[1]Datos!$K$6))))</f>
        <v>5556.6556666666656</v>
      </c>
      <c r="M24" s="18">
        <v>0</v>
      </c>
      <c r="N24" s="18"/>
      <c r="O24" s="18">
        <f t="shared" si="3"/>
        <v>0</v>
      </c>
      <c r="P24" s="18"/>
      <c r="Q24" s="15">
        <f t="shared" ref="Q24:Q28" si="5">+H24+I24+L24+O24</f>
        <v>9752.755666666666</v>
      </c>
      <c r="R24" s="19">
        <f>+G24-Q24</f>
        <v>61247.244333333336</v>
      </c>
      <c r="S24" s="20"/>
    </row>
    <row r="25" spans="2:19" s="21" customFormat="1" x14ac:dyDescent="0.25">
      <c r="B25" s="12">
        <v>19</v>
      </c>
      <c r="C25" s="13">
        <v>21</v>
      </c>
      <c r="D25" s="71" t="s">
        <v>38</v>
      </c>
      <c r="E25" s="72" t="s">
        <v>38</v>
      </c>
      <c r="F25" s="48" t="s">
        <v>19</v>
      </c>
      <c r="G25" s="47">
        <v>71000</v>
      </c>
      <c r="H25" s="16">
        <f>IF(G25&gt;=[1]Datos!$D$14,([1]Datos!$D$14*[1]Datos!$C$14),IF(G25&lt;=[1]Datos!$D$14,(G25*[1]Datos!$C$14)))</f>
        <v>2037.7</v>
      </c>
      <c r="I25" s="17">
        <f>IF(G25&gt;=[1]Datos!$D$15,([1]Datos!$D$15*[1]Datos!$C$15),IF(G25&lt;=[1]Datos!$D$15,(G25*[1]Datos!$C$15)))</f>
        <v>2158.4</v>
      </c>
      <c r="J25" s="46"/>
      <c r="K25" s="15">
        <f t="shared" si="0"/>
        <v>66803.899999999994</v>
      </c>
      <c r="L25" s="15">
        <f>IF(K25&lt;=[1]Datos!$G$7,"0",IF(K25&lt;=[1]Datos!$G$8,(K25-[1]Datos!$F$8)*[1]Datos!$I$6,IF(K25&lt;=[1]Datos!$G$9,[1]Datos!$I$8+(K25-[1]Datos!$F$9)*[1]Datos!$J$6,IF(K25&gt;=[1]Datos!$F$10,([1]Datos!$I$8+[1]Datos!$J$8)+(K25-[1]Datos!$F$10)*[1]Datos!$K$6))))</f>
        <v>5556.6556666666656</v>
      </c>
      <c r="M25" s="18">
        <v>0</v>
      </c>
      <c r="N25" s="18"/>
      <c r="O25" s="18">
        <f t="shared" si="3"/>
        <v>0</v>
      </c>
      <c r="P25" s="18"/>
      <c r="Q25" s="15">
        <f t="shared" si="5"/>
        <v>9752.755666666666</v>
      </c>
      <c r="R25" s="19">
        <f>+G25-Q25</f>
        <v>61247.244333333336</v>
      </c>
      <c r="S25" s="20"/>
    </row>
    <row r="26" spans="2:19" s="21" customFormat="1" x14ac:dyDescent="0.25">
      <c r="B26" s="49">
        <v>20</v>
      </c>
      <c r="C26" s="13">
        <v>22</v>
      </c>
      <c r="D26" s="71" t="s">
        <v>38</v>
      </c>
      <c r="E26" s="72" t="s">
        <v>38</v>
      </c>
      <c r="F26" s="28" t="s">
        <v>22</v>
      </c>
      <c r="G26" s="50">
        <v>71000</v>
      </c>
      <c r="H26" s="51">
        <f>IF(G26&gt;=[1]Datos!$D$14,([1]Datos!$D$14*[1]Datos!$C$14),IF(G26&lt;=[1]Datos!$D$14,(G26*[1]Datos!$C$14)))</f>
        <v>2037.7</v>
      </c>
      <c r="I26" s="52">
        <f>IF(G26&gt;=[1]Datos!$D$15,([1]Datos!$D$15*[1]Datos!$C$15),IF(G26&lt;=[1]Datos!$D$15,(G26*[1]Datos!$C$15)))</f>
        <v>2158.4</v>
      </c>
      <c r="J26" s="46"/>
      <c r="K26" s="53">
        <f t="shared" si="0"/>
        <v>66803.899999999994</v>
      </c>
      <c r="L26" s="53">
        <f>IF(K26&lt;=[1]Datos!$G$7,"0",IF(K26&lt;=[1]Datos!$G$8,(K26-[1]Datos!$F$8)*[1]Datos!$I$6,IF(K26&lt;=[1]Datos!$G$9,[1]Datos!$I$8+(K26-[1]Datos!$F$9)*[1]Datos!$J$6,IF(K26&gt;=[1]Datos!$F$10,([1]Datos!$I$8+[1]Datos!$J$8)+(K26-[1]Datos!$F$10)*[1]Datos!$K$6))))</f>
        <v>5556.6556666666656</v>
      </c>
      <c r="M26" s="54">
        <f>+'[3]CONTRATADO Agosto 2021'!$G$15</f>
        <v>1908.0439999999999</v>
      </c>
      <c r="N26" s="54"/>
      <c r="O26" s="54">
        <f t="shared" si="3"/>
        <v>1908.0439999999999</v>
      </c>
      <c r="P26" s="54"/>
      <c r="Q26" s="53">
        <f t="shared" si="5"/>
        <v>11660.799666666666</v>
      </c>
      <c r="R26" s="55">
        <f>+G26-Q26</f>
        <v>59339.200333333334</v>
      </c>
      <c r="S26" s="20"/>
    </row>
    <row r="27" spans="2:19" s="36" customFormat="1" x14ac:dyDescent="0.25">
      <c r="B27" s="32">
        <v>1</v>
      </c>
      <c r="C27" s="13">
        <v>23</v>
      </c>
      <c r="D27" s="78" t="s">
        <v>38</v>
      </c>
      <c r="E27" s="79" t="s">
        <v>38</v>
      </c>
      <c r="F27" s="56" t="s">
        <v>19</v>
      </c>
      <c r="G27" s="57">
        <v>86000</v>
      </c>
      <c r="H27" s="38">
        <f>IF(G27&gt;=[1]Datos!$D$14,([1]Datos!$D$14*[1]Datos!$C$14),IF(G27&lt;=[1]Datos!$D$14,(G27*[1]Datos!$C$14)))</f>
        <v>2468.1999999999998</v>
      </c>
      <c r="I27" s="38">
        <f>IF(G27&gt;=[1]Datos!$D$15,([1]Datos!$D$15*[1]Datos!$C$15),IF(G27&lt;=[1]Datos!$D$15,(G27*[1]Datos!$C$15)))</f>
        <v>2614.4</v>
      </c>
      <c r="J27" s="39">
        <f>1350.12*2</f>
        <v>2700.24</v>
      </c>
      <c r="K27" s="23">
        <f t="shared" si="0"/>
        <v>78217.16</v>
      </c>
      <c r="L27" s="23">
        <f>IF(K27&lt;=[1]Datos!$G$7,"0",IF(K27&lt;=[1]Datos!$G$8,(K27-[1]Datos!$F$8)*[1]Datos!$I$6,IF(K27&lt;=[1]Datos!$G$9,[1]Datos!$I$8+(K27-[1]Datos!$F$9)*[1]Datos!$J$6,IF(K27&gt;=[1]Datos!$F$10,([1]Datos!$I$8+[1]Datos!$J$8)+(K27-[1]Datos!$F$10)*[1]Datos!$K$6))))</f>
        <v>8137.1506666666683</v>
      </c>
      <c r="M27" s="39">
        <v>0</v>
      </c>
      <c r="N27" s="39"/>
      <c r="O27" s="39">
        <f t="shared" si="3"/>
        <v>2700.24</v>
      </c>
      <c r="P27" s="39"/>
      <c r="Q27" s="23">
        <f t="shared" si="5"/>
        <v>15919.990666666668</v>
      </c>
      <c r="R27" s="23">
        <f>+G27-Q27+0.01</f>
        <v>70080.01933333333</v>
      </c>
      <c r="S27" s="40"/>
    </row>
    <row r="28" spans="2:19" s="36" customFormat="1" x14ac:dyDescent="0.25">
      <c r="B28" s="32">
        <v>2</v>
      </c>
      <c r="C28" s="13">
        <v>24</v>
      </c>
      <c r="D28" s="78" t="s">
        <v>38</v>
      </c>
      <c r="E28" s="79" t="s">
        <v>38</v>
      </c>
      <c r="F28" s="56" t="s">
        <v>22</v>
      </c>
      <c r="G28" s="57">
        <v>86000</v>
      </c>
      <c r="H28" s="38">
        <f>IF(G28&gt;=[1]Datos!$D$14,([1]Datos!$D$14*[1]Datos!$C$14),IF(G28&lt;=[1]Datos!$D$14,(G28*[1]Datos!$C$14)))</f>
        <v>2468.1999999999998</v>
      </c>
      <c r="I28" s="38">
        <f>IF(G28&gt;=[1]Datos!$D$15,([1]Datos!$D$15*[1]Datos!$C$15),IF(G28&lt;=[1]Datos!$D$15,(G28*[1]Datos!$C$15)))</f>
        <v>2614.4</v>
      </c>
      <c r="J28" s="39"/>
      <c r="K28" s="23">
        <f t="shared" si="0"/>
        <v>80917.399999999994</v>
      </c>
      <c r="L28" s="23">
        <f>IF(K28&lt;=[1]Datos!$G$7,"0",IF(K28&lt;=[1]Datos!$G$8,(K28-[1]Datos!$F$8)*[1]Datos!$I$6,IF(K28&lt;=[1]Datos!$G$9,[1]Datos!$I$8+(K28-[1]Datos!$F$9)*[1]Datos!$J$6,IF(K28&gt;=[1]Datos!$F$10,([1]Datos!$I$8+[1]Datos!$J$8)+(K28-[1]Datos!$F$10)*[1]Datos!$K$6))))</f>
        <v>8812.2106666666659</v>
      </c>
      <c r="M28" s="39">
        <v>639</v>
      </c>
      <c r="N28" s="39"/>
      <c r="O28" s="39">
        <f t="shared" si="3"/>
        <v>639</v>
      </c>
      <c r="P28" s="39"/>
      <c r="Q28" s="23">
        <f t="shared" si="5"/>
        <v>14533.810666666666</v>
      </c>
      <c r="R28" s="23">
        <f>+G28-Q28-0.01</f>
        <v>71466.179333333333</v>
      </c>
      <c r="S28" s="40"/>
    </row>
    <row r="29" spans="2:19" s="21" customFormat="1" x14ac:dyDescent="0.25">
      <c r="B29" s="12">
        <v>3</v>
      </c>
      <c r="C29" s="13">
        <v>25</v>
      </c>
      <c r="D29" s="71" t="s">
        <v>38</v>
      </c>
      <c r="E29" s="72" t="s">
        <v>38</v>
      </c>
      <c r="F29" s="28" t="s">
        <v>22</v>
      </c>
      <c r="G29" s="50">
        <v>86000</v>
      </c>
      <c r="H29" s="51">
        <f>IF(G29&gt;=[1]Datos!$D$14,([1]Datos!$D$14*[1]Datos!$C$14),IF(G29&lt;=[1]Datos!$D$14,(G29*[1]Datos!$C$14)))</f>
        <v>2468.1999999999998</v>
      </c>
      <c r="I29" s="52">
        <f>IF(G29&gt;=[1]Datos!$D$15,([1]Datos!$D$15*[1]Datos!$C$15),IF(G29&lt;=[1]Datos!$D$15,(G29*[1]Datos!$C$15)))</f>
        <v>2614.4</v>
      </c>
      <c r="J29" s="58"/>
      <c r="K29" s="53">
        <f t="shared" si="0"/>
        <v>80917.399999999994</v>
      </c>
      <c r="L29" s="53">
        <f>IF(K29&lt;=[1]Datos!$G$7,"0",IF(K29&lt;=[1]Datos!$G$8,(K29-[1]Datos!$F$8)*[1]Datos!$I$6,IF(K29&lt;=[1]Datos!$G$9,[1]Datos!$I$8+(K29-[1]Datos!$F$9)*[1]Datos!$J$6,IF(K29&gt;=[1]Datos!$F$10,([1]Datos!$I$8+[1]Datos!$J$8)+(K29-[1]Datos!$F$10)*[1]Datos!$K$6))))</f>
        <v>8812.2106666666659</v>
      </c>
      <c r="M29" s="54">
        <v>0</v>
      </c>
      <c r="N29" s="54"/>
      <c r="O29" s="54">
        <f t="shared" si="3"/>
        <v>0</v>
      </c>
      <c r="P29" s="54"/>
      <c r="Q29" s="53">
        <f>+H29+I29+L29+O29</f>
        <v>13894.810666666666</v>
      </c>
      <c r="R29" s="55">
        <f>+G29-Q29-0.01</f>
        <v>72105.179333333333</v>
      </c>
      <c r="S29" s="20"/>
    </row>
    <row r="30" spans="2:19" s="21" customFormat="1" x14ac:dyDescent="0.25">
      <c r="B30" s="59"/>
      <c r="C30" s="13">
        <v>26</v>
      </c>
      <c r="D30" s="71" t="s">
        <v>38</v>
      </c>
      <c r="E30" s="72" t="s">
        <v>38</v>
      </c>
      <c r="F30" s="24" t="s">
        <v>22</v>
      </c>
      <c r="G30" s="47">
        <v>65000</v>
      </c>
      <c r="H30" s="16">
        <v>1865.5</v>
      </c>
      <c r="I30" s="17">
        <v>1976</v>
      </c>
      <c r="J30" s="46"/>
      <c r="K30" s="15">
        <f t="shared" si="0"/>
        <v>61158.5</v>
      </c>
      <c r="L30" s="15">
        <f>IF(K30&lt;=[1]Datos!$G$7,"0",IF(K30&lt;=[1]Datos!$G$8,(K30-[1]Datos!$F$8)*[1]Datos!$I$6,IF(K30&lt;=[1]Datos!$G$9,[1]Datos!$I$8+(K30-[1]Datos!$F$9)*[1]Datos!$J$6,IF(K30&gt;=[1]Datos!$F$10,([1]Datos!$I$8+[1]Datos!$J$8)+(K30-[1]Datos!$F$10)*[1]Datos!$K$6))))</f>
        <v>4427.5756666666657</v>
      </c>
      <c r="M30" s="18">
        <v>1229.4000000000001</v>
      </c>
      <c r="N30" s="18"/>
      <c r="O30" s="18">
        <f t="shared" si="3"/>
        <v>1229.4000000000001</v>
      </c>
      <c r="P30" s="18"/>
      <c r="Q30" s="15">
        <f>+H30+I30+L30+O30</f>
        <v>9498.4756666666653</v>
      </c>
      <c r="R30" s="19">
        <f>+G30-Q30</f>
        <v>55501.524333333335</v>
      </c>
      <c r="S30" s="20"/>
    </row>
    <row r="31" spans="2:19" s="21" customFormat="1" x14ac:dyDescent="0.25">
      <c r="B31" s="12">
        <v>22</v>
      </c>
      <c r="C31" s="13">
        <v>27</v>
      </c>
      <c r="D31" s="71" t="s">
        <v>39</v>
      </c>
      <c r="E31" s="72" t="s">
        <v>39</v>
      </c>
      <c r="F31" s="24" t="s">
        <v>22</v>
      </c>
      <c r="G31" s="47">
        <v>140000</v>
      </c>
      <c r="H31" s="16">
        <f>IF(G31&gt;=[1]Datos!$D$14,([1]Datos!$D$14*[1]Datos!$C$14),IF(G31&lt;=[1]Datos!$D$14,(G31*[1]Datos!$C$14)))</f>
        <v>4018</v>
      </c>
      <c r="I31" s="17">
        <f>IF(G31&gt;=[1]Datos!$D$15,([1]Datos!$D$15*[1]Datos!$C$15),IF(G31&lt;=[1]Datos!$D$15,(G31*[1]Datos!$C$15)))</f>
        <v>4256</v>
      </c>
      <c r="J31" s="18"/>
      <c r="K31" s="15">
        <f t="shared" si="0"/>
        <v>131726</v>
      </c>
      <c r="L31" s="15">
        <f>IF(K31&lt;=[1]Datos!$G$7,"0",IF(K31&lt;=[1]Datos!$G$8,(K31-[1]Datos!$F$8)*[1]Datos!$I$6,IF(K31&lt;=[1]Datos!$G$9,[1]Datos!$I$8+(K31-[1]Datos!$F$9)*[1]Datos!$J$6,IF(K31&gt;=[1]Datos!$F$10,([1]Datos!$I$8+[1]Datos!$J$8)+(K31-[1]Datos!$F$10)*[1]Datos!$K$6))))</f>
        <v>21514.360666666667</v>
      </c>
      <c r="M31" s="18"/>
      <c r="N31" s="18"/>
      <c r="O31" s="18">
        <f>+J31+M31+N31</f>
        <v>0</v>
      </c>
      <c r="P31" s="60"/>
      <c r="Q31" s="15">
        <f>+H31+I31+L31+O31</f>
        <v>29788.360666666667</v>
      </c>
      <c r="R31" s="19">
        <f>+G31-Q31-0.01</f>
        <v>110211.62933333333</v>
      </c>
      <c r="S31" s="20"/>
    </row>
    <row r="32" spans="2:19" s="21" customFormat="1" x14ac:dyDescent="0.25">
      <c r="B32" s="12"/>
      <c r="C32" s="13">
        <v>28</v>
      </c>
      <c r="D32" s="71" t="s">
        <v>40</v>
      </c>
      <c r="E32" s="72" t="s">
        <v>40</v>
      </c>
      <c r="F32" s="24" t="s">
        <v>22</v>
      </c>
      <c r="G32" s="47">
        <v>140000</v>
      </c>
      <c r="H32" s="16">
        <f>IF(G32&gt;=[1]Datos!$D$14,([1]Datos!$D$14*[1]Datos!$C$14),IF(G32&lt;=[1]Datos!$D$14,(G32*[1]Datos!$C$14)))</f>
        <v>4018</v>
      </c>
      <c r="I32" s="17">
        <f>IF(G32&gt;=[1]Datos!$D$15,([1]Datos!$D$15*[1]Datos!$C$15),IF(G32&lt;=[1]Datos!$D$15,(G32*[1]Datos!$C$15)))</f>
        <v>4256</v>
      </c>
      <c r="J32" s="18"/>
      <c r="K32" s="15">
        <f t="shared" si="0"/>
        <v>131726</v>
      </c>
      <c r="L32" s="15">
        <f>IF(K32&lt;=[1]Datos!$G$7,"0",IF(K32&lt;=[1]Datos!$G$8,(K32-[1]Datos!$F$8)*[1]Datos!$I$6,IF(K32&lt;=[1]Datos!$G$9,[1]Datos!$I$8+(K32-[1]Datos!$F$9)*[1]Datos!$J$6,IF(K32&gt;=[1]Datos!$F$10,([1]Datos!$I$8+[1]Datos!$J$8)+(K32-[1]Datos!$F$10)*[1]Datos!$K$6))))</f>
        <v>21514.360666666667</v>
      </c>
      <c r="M32" s="18">
        <v>1686.44</v>
      </c>
      <c r="N32" s="18"/>
      <c r="O32" s="18">
        <f>+J32+M32+N32</f>
        <v>1686.44</v>
      </c>
      <c r="P32" s="60"/>
      <c r="Q32" s="15">
        <f>+H32+I32+L32+O32</f>
        <v>31474.800666666666</v>
      </c>
      <c r="R32" s="19">
        <f>+G32-Q32-0.01</f>
        <v>108525.18933333334</v>
      </c>
      <c r="S32" s="20"/>
    </row>
    <row r="33" spans="2:19" s="21" customFormat="1" ht="16.5" thickBot="1" x14ac:dyDescent="0.3">
      <c r="B33" s="59"/>
      <c r="C33" s="13">
        <v>29</v>
      </c>
      <c r="D33" s="73" t="s">
        <v>41</v>
      </c>
      <c r="E33" s="74" t="s">
        <v>41</v>
      </c>
      <c r="F33" s="24" t="s">
        <v>22</v>
      </c>
      <c r="G33" s="61">
        <v>71000</v>
      </c>
      <c r="H33" s="62">
        <v>2037.7</v>
      </c>
      <c r="I33" s="63">
        <v>2158.4</v>
      </c>
      <c r="J33" s="60"/>
      <c r="K33" s="64">
        <f t="shared" si="0"/>
        <v>66803.899999999994</v>
      </c>
      <c r="L33" s="64">
        <v>5556.66</v>
      </c>
      <c r="M33" s="60">
        <v>0</v>
      </c>
      <c r="N33" s="60"/>
      <c r="O33" s="60"/>
      <c r="P33" s="60"/>
      <c r="Q33" s="64">
        <f>+H33+I33+L33+O33</f>
        <v>9752.76</v>
      </c>
      <c r="R33" s="65">
        <f>+G33-Q33</f>
        <v>61247.24</v>
      </c>
      <c r="S33" s="20"/>
    </row>
    <row r="34" spans="2:19" s="11" customFormat="1" ht="19.5" customHeight="1" thickBot="1" x14ac:dyDescent="0.3">
      <c r="B34" s="75" t="s">
        <v>42</v>
      </c>
      <c r="C34" s="76"/>
      <c r="D34" s="76"/>
      <c r="E34" s="77"/>
      <c r="F34" s="66"/>
      <c r="G34" s="67">
        <f>SUM(G5:G33)</f>
        <v>2599000</v>
      </c>
      <c r="H34" s="67">
        <f t="shared" ref="H34:Q34" si="6">SUM(H5:H33)</f>
        <v>74591.299999999974</v>
      </c>
      <c r="I34" s="67">
        <f>SUM(I5:I33)</f>
        <v>78937.399999999994</v>
      </c>
      <c r="J34" s="67">
        <f t="shared" si="6"/>
        <v>5400.48</v>
      </c>
      <c r="K34" s="67">
        <f t="shared" si="6"/>
        <v>2440070.8199999989</v>
      </c>
      <c r="L34" s="67">
        <f t="shared" si="6"/>
        <v>293258.52016666665</v>
      </c>
      <c r="M34" s="67">
        <f t="shared" si="6"/>
        <v>25062.182500000006</v>
      </c>
      <c r="N34" s="67">
        <f t="shared" si="6"/>
        <v>25</v>
      </c>
      <c r="O34" s="67">
        <f t="shared" si="6"/>
        <v>34529.502500000002</v>
      </c>
      <c r="P34" s="67">
        <f t="shared" si="6"/>
        <v>0</v>
      </c>
      <c r="Q34" s="67">
        <f t="shared" si="6"/>
        <v>481316.72266666655</v>
      </c>
      <c r="R34" s="67">
        <f>SUM(R5:R33)-0.06</f>
        <v>2117683.1173333335</v>
      </c>
    </row>
    <row r="36" spans="2:19" x14ac:dyDescent="0.25">
      <c r="R36" s="68"/>
    </row>
    <row r="37" spans="2:19" x14ac:dyDescent="0.25">
      <c r="G37" s="69"/>
      <c r="R37" s="69"/>
    </row>
    <row r="38" spans="2:19" x14ac:dyDescent="0.25">
      <c r="M38" s="68"/>
    </row>
    <row r="39" spans="2:19" x14ac:dyDescent="0.25">
      <c r="M39" s="69"/>
    </row>
    <row r="40" spans="2:19" x14ac:dyDescent="0.25">
      <c r="D40" s="2" t="s">
        <v>43</v>
      </c>
      <c r="O40" s="2" t="s">
        <v>44</v>
      </c>
    </row>
    <row r="41" spans="2:19" x14ac:dyDescent="0.25">
      <c r="D41" s="70" t="s">
        <v>45</v>
      </c>
      <c r="G41" s="69"/>
      <c r="O41" s="70" t="s">
        <v>46</v>
      </c>
    </row>
    <row r="42" spans="2:19" x14ac:dyDescent="0.25">
      <c r="G42" s="69"/>
    </row>
    <row r="43" spans="2:19" x14ac:dyDescent="0.25">
      <c r="G43" s="69"/>
    </row>
    <row r="44" spans="2:19" x14ac:dyDescent="0.25">
      <c r="G44" s="69"/>
    </row>
    <row r="45" spans="2:19" x14ac:dyDescent="0.25">
      <c r="G45" s="69"/>
    </row>
    <row r="46" spans="2:19" x14ac:dyDescent="0.25">
      <c r="G46" s="69"/>
    </row>
    <row r="47" spans="2:19" x14ac:dyDescent="0.25">
      <c r="D47" s="70"/>
      <c r="G47" s="69"/>
      <c r="M47" s="68"/>
      <c r="N47" s="68"/>
      <c r="O47" s="69"/>
    </row>
    <row r="48" spans="2:19" x14ac:dyDescent="0.25">
      <c r="G48" s="69"/>
      <c r="M48" s="69"/>
    </row>
  </sheetData>
  <mergeCells count="33">
    <mergeCell ref="D13:E13"/>
    <mergeCell ref="B1:R1"/>
    <mergeCell ref="B2:R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2:E32"/>
    <mergeCell ref="D33:E33"/>
    <mergeCell ref="B34:E34"/>
    <mergeCell ref="D26:E26"/>
    <mergeCell ref="D27:E27"/>
    <mergeCell ref="D28:E28"/>
    <mergeCell ref="D29:E29"/>
    <mergeCell ref="D30:E30"/>
    <mergeCell ref="D31:E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Leslie M Coste Pérez</cp:lastModifiedBy>
  <dcterms:created xsi:type="dcterms:W3CDTF">2022-02-09T19:03:52Z</dcterms:created>
  <dcterms:modified xsi:type="dcterms:W3CDTF">2022-02-09T19:04:46Z</dcterms:modified>
</cp:coreProperties>
</file>