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diciembre 2021\"/>
    </mc:Choice>
  </mc:AlternateContent>
  <bookViews>
    <workbookView xWindow="-120" yWindow="-120" windowWidth="29040" windowHeight="15840" activeTab="2"/>
  </bookViews>
  <sheets>
    <sheet name="PRESUPUESTO SIGEF 2021" sheetId="4" r:id="rId1"/>
    <sheet name="PRESUPUESTO" sheetId="1" r:id="rId2"/>
    <sheet name="Reporte Devengado Aprobado" sheetId="3" r:id="rId3"/>
    <sheet name="Planilla de presupuesto" sheetId="2" r:id="rId4"/>
    <sheet name="Sheet2" sheetId="6" r:id="rId5"/>
    <sheet name="Sheet1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'PRESUPUESTO SIGEF 2021'!$C$8:$U$205</definedName>
    <definedName name="_xlnm._FilterDatabase" localSheetId="2" hidden="1">'Reporte Devengado Aprobado'!$B$14:$P$243</definedName>
    <definedName name="_xlnm.Print_Area" localSheetId="1">PRESUPUESTO!$A$1:$P$46</definedName>
    <definedName name="_xlnm.Print_Area" localSheetId="0">'PRESUPUESTO SIGEF 2021'!$R$6:$U$192</definedName>
    <definedName name="_xlnm.Print_Area" localSheetId="2">'Reporte Devengado Aprobado'!$B$14:$G$197</definedName>
    <definedName name="_xlnm.Print_Titles" localSheetId="0">'PRESUPUESTO SIGEF 2021'!$8:$8</definedName>
    <definedName name="_xlnm.Print_Titles" localSheetId="2">'Reporte Devengado Aprobado'!$13:$15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1" i="3" l="1"/>
  <c r="O214" i="3" l="1"/>
  <c r="O181" i="3"/>
  <c r="O184" i="3"/>
  <c r="O217" i="3" l="1"/>
  <c r="O35" i="3"/>
  <c r="O31" i="3"/>
  <c r="M83" i="3" l="1"/>
  <c r="G6" i="7" l="1"/>
  <c r="G7" i="7"/>
  <c r="G8" i="7"/>
  <c r="G9" i="7"/>
  <c r="E10" i="7"/>
  <c r="G10" i="7" s="1"/>
  <c r="E7" i="7"/>
  <c r="E5" i="7"/>
  <c r="AO9" i="4"/>
  <c r="AP9" i="4" s="1"/>
  <c r="T25" i="4"/>
  <c r="L127" i="3" l="1"/>
  <c r="AF25" i="4" l="1"/>
  <c r="AF33" i="4" l="1"/>
  <c r="AF31" i="4"/>
  <c r="AF29" i="4"/>
  <c r="AF13" i="4"/>
  <c r="AF9" i="4"/>
  <c r="L105" i="3"/>
  <c r="P187" i="3" l="1"/>
  <c r="E184" i="3"/>
  <c r="F184" i="3"/>
  <c r="G184" i="3"/>
  <c r="H184" i="3"/>
  <c r="I184" i="3"/>
  <c r="J184" i="3"/>
  <c r="K184" i="3"/>
  <c r="L184" i="3"/>
  <c r="M184" i="3"/>
  <c r="N184" i="3"/>
  <c r="D184" i="3"/>
  <c r="P151" i="3"/>
  <c r="P150" i="3"/>
  <c r="P149" i="3"/>
  <c r="P148" i="3"/>
  <c r="P119" i="3"/>
  <c r="P118" i="3"/>
  <c r="P117" i="3"/>
  <c r="P116" i="3"/>
  <c r="P111" i="3"/>
  <c r="P110" i="3"/>
  <c r="P102" i="3"/>
  <c r="P103" i="3"/>
  <c r="E138" i="3" l="1"/>
  <c r="F138" i="3"/>
  <c r="G138" i="3"/>
  <c r="H138" i="3"/>
  <c r="I138" i="3"/>
  <c r="J138" i="3"/>
  <c r="K138" i="3"/>
  <c r="L138" i="3"/>
  <c r="M138" i="3"/>
  <c r="N138" i="3"/>
  <c r="O138" i="3"/>
  <c r="D138" i="3"/>
  <c r="P139" i="3"/>
  <c r="P138" i="3" l="1"/>
  <c r="P38" i="3"/>
  <c r="P39" i="3"/>
  <c r="P40" i="3"/>
  <c r="AE181" i="4" l="1"/>
  <c r="AJ181" i="4" s="1"/>
  <c r="AJ191" i="4"/>
  <c r="AJ190" i="4"/>
  <c r="AJ189" i="4"/>
  <c r="AJ187" i="4"/>
  <c r="AJ186" i="4"/>
  <c r="AJ185" i="4"/>
  <c r="AJ184" i="4"/>
  <c r="AJ183" i="4"/>
  <c r="AJ180" i="4"/>
  <c r="AJ179" i="4"/>
  <c r="AJ177" i="4"/>
  <c r="AJ175" i="4"/>
  <c r="AJ170" i="4"/>
  <c r="AJ169" i="4"/>
  <c r="AJ168" i="4"/>
  <c r="AJ167" i="4"/>
  <c r="AJ165" i="4"/>
  <c r="AJ164" i="4"/>
  <c r="AJ163" i="4"/>
  <c r="AJ161" i="4"/>
  <c r="AJ159" i="4"/>
  <c r="AJ157" i="4"/>
  <c r="AJ156" i="4"/>
  <c r="AJ155" i="4"/>
  <c r="AJ153" i="4"/>
  <c r="AJ150" i="4"/>
  <c r="AJ148" i="4"/>
  <c r="AJ146" i="4"/>
  <c r="AJ145" i="4"/>
  <c r="AJ144" i="4"/>
  <c r="AJ142" i="4"/>
  <c r="AJ140" i="4"/>
  <c r="AJ138" i="4"/>
  <c r="AJ137" i="4"/>
  <c r="AJ136" i="4"/>
  <c r="AJ135" i="4"/>
  <c r="AJ133" i="4"/>
  <c r="AJ132" i="4"/>
  <c r="AJ131" i="4"/>
  <c r="AJ129" i="4"/>
  <c r="AJ128" i="4"/>
  <c r="AJ127" i="4"/>
  <c r="AJ125" i="4"/>
  <c r="AJ123" i="4"/>
  <c r="AJ121" i="4"/>
  <c r="AJ120" i="4"/>
  <c r="AJ118" i="4"/>
  <c r="AJ117" i="4"/>
  <c r="AJ115" i="4"/>
  <c r="AJ112" i="4"/>
  <c r="AJ111" i="4"/>
  <c r="AJ108" i="4"/>
  <c r="AJ107" i="4"/>
  <c r="AJ105" i="4"/>
  <c r="AJ104" i="4"/>
  <c r="AJ103" i="4"/>
  <c r="AJ102" i="4"/>
  <c r="AJ101" i="4"/>
  <c r="AJ100" i="4"/>
  <c r="AJ98" i="4"/>
  <c r="AJ96" i="4"/>
  <c r="AJ93" i="4"/>
  <c r="AJ92" i="4"/>
  <c r="AJ91" i="4"/>
  <c r="AJ89" i="4"/>
  <c r="AJ87" i="4"/>
  <c r="AJ86" i="4"/>
  <c r="AJ84" i="4"/>
  <c r="AJ83" i="4"/>
  <c r="AJ82" i="4"/>
  <c r="AJ81" i="4"/>
  <c r="AJ79" i="4"/>
  <c r="AJ78" i="4"/>
  <c r="AJ77" i="4"/>
  <c r="AJ75" i="4"/>
  <c r="AJ74" i="4"/>
  <c r="AJ72" i="4"/>
  <c r="AJ71" i="4"/>
  <c r="AJ70" i="4"/>
  <c r="AJ69" i="4"/>
  <c r="AJ68" i="4"/>
  <c r="AJ67" i="4"/>
  <c r="AJ54" i="4"/>
  <c r="AJ53" i="4"/>
  <c r="AJ52" i="4"/>
  <c r="AJ51" i="4"/>
  <c r="AJ50" i="4"/>
  <c r="AJ48" i="4"/>
  <c r="AJ47" i="4"/>
  <c r="AJ46" i="4"/>
  <c r="AJ44" i="4"/>
  <c r="AJ43" i="4"/>
  <c r="AJ42" i="4"/>
  <c r="AJ41" i="4"/>
  <c r="AJ40" i="4"/>
  <c r="AJ39" i="4"/>
  <c r="AJ38" i="4"/>
  <c r="AJ36" i="4"/>
  <c r="AJ32" i="4"/>
  <c r="AJ31" i="4"/>
  <c r="AJ30" i="4"/>
  <c r="AJ29" i="4"/>
  <c r="AJ23" i="4"/>
  <c r="AJ22" i="4"/>
  <c r="AJ20" i="4"/>
  <c r="AJ19" i="4"/>
  <c r="AJ18" i="4"/>
  <c r="AJ16" i="4"/>
  <c r="AJ15" i="4"/>
  <c r="D19" i="3" l="1"/>
  <c r="P25" i="3"/>
  <c r="K105" i="3"/>
  <c r="AK214" i="4" l="1"/>
  <c r="AM214" i="4"/>
  <c r="D7" i="7"/>
  <c r="D12" i="7" s="1"/>
  <c r="C23" i="7"/>
  <c r="C22" i="7"/>
  <c r="AM213" i="4"/>
  <c r="AN213" i="4" s="1"/>
  <c r="AM215" i="4"/>
  <c r="AM216" i="4"/>
  <c r="AM217" i="4"/>
  <c r="AM212" i="4"/>
  <c r="AJ212" i="4"/>
  <c r="AJ219" i="4" s="1"/>
  <c r="AJ205" i="4"/>
  <c r="G5" i="7" l="1"/>
  <c r="G12" i="7" s="1"/>
  <c r="E12" i="7"/>
  <c r="D16" i="7" s="1"/>
  <c r="AK219" i="4"/>
  <c r="AM219" i="4"/>
  <c r="AO102" i="4" l="1"/>
  <c r="AP102" i="4" s="1"/>
  <c r="AQ102" i="4" s="1"/>
  <c r="AR102" i="4" s="1"/>
  <c r="AS102" i="4" s="1"/>
  <c r="AT102" i="4" s="1"/>
  <c r="AU102" i="4" s="1"/>
  <c r="AO112" i="4"/>
  <c r="AP112" i="4" s="1"/>
  <c r="AQ112" i="4" s="1"/>
  <c r="AR112" i="4" s="1"/>
  <c r="AS112" i="4" s="1"/>
  <c r="AT112" i="4" s="1"/>
  <c r="AU112" i="4" s="1"/>
  <c r="T192" i="4"/>
  <c r="U112" i="4"/>
  <c r="AK112" i="4" s="1"/>
  <c r="U102" i="4"/>
  <c r="U98" i="4"/>
  <c r="T28" i="4"/>
  <c r="T26" i="4"/>
  <c r="AK102" i="4" l="1"/>
  <c r="AV102" i="4" s="1"/>
  <c r="AV112" i="4"/>
  <c r="AU44" i="4"/>
  <c r="AU43" i="4"/>
  <c r="AU21" i="4"/>
  <c r="AP33" i="4" l="1"/>
  <c r="AP31" i="4"/>
  <c r="AP29" i="4"/>
  <c r="AP25" i="4"/>
  <c r="AP13" i="4"/>
  <c r="AQ9" i="4"/>
  <c r="AW9" i="4"/>
  <c r="AW11" i="4" s="1"/>
  <c r="AP147" i="4" l="1"/>
  <c r="AQ147" i="4" s="1"/>
  <c r="AR147" i="4" s="1"/>
  <c r="AS147" i="4" s="1"/>
  <c r="AT147" i="4" s="1"/>
  <c r="AU147" i="4" s="1"/>
  <c r="AU166" i="4" l="1"/>
  <c r="AU164" i="4"/>
  <c r="AO94" i="4" l="1"/>
  <c r="AO25" i="4"/>
  <c r="AQ172" i="4"/>
  <c r="AU172" i="4" s="1"/>
  <c r="AQ37" i="4"/>
  <c r="AR37" i="4" s="1"/>
  <c r="AR33" i="4" l="1"/>
  <c r="AS104" i="4"/>
  <c r="AT104" i="4" s="1"/>
  <c r="AO190" i="4"/>
  <c r="AP190" i="4" s="1"/>
  <c r="AO186" i="4"/>
  <c r="AP186" i="4" s="1"/>
  <c r="AO184" i="4"/>
  <c r="AP184" i="4" s="1"/>
  <c r="AO180" i="4"/>
  <c r="AP180" i="4" s="1"/>
  <c r="AO170" i="4"/>
  <c r="AP170" i="4" s="1"/>
  <c r="AO150" i="4"/>
  <c r="AP150" i="4" s="1"/>
  <c r="AQ150" i="4" s="1"/>
  <c r="AR150" i="4" s="1"/>
  <c r="AS150" i="4" s="1"/>
  <c r="AT150" i="4" s="1"/>
  <c r="AU150" i="4" s="1"/>
  <c r="AO141" i="4"/>
  <c r="AP141" i="4" s="1"/>
  <c r="AQ141" i="4" s="1"/>
  <c r="AR141" i="4" s="1"/>
  <c r="AS141" i="4" s="1"/>
  <c r="AT141" i="4" s="1"/>
  <c r="AU141" i="4" s="1"/>
  <c r="AO138" i="4"/>
  <c r="AP138" i="4" s="1"/>
  <c r="AQ138" i="4" s="1"/>
  <c r="AR138" i="4" s="1"/>
  <c r="AS138" i="4" s="1"/>
  <c r="AT138" i="4" s="1"/>
  <c r="AU138" i="4" s="1"/>
  <c r="AO137" i="4"/>
  <c r="AP137" i="4" s="1"/>
  <c r="AQ137" i="4" s="1"/>
  <c r="AR137" i="4" s="1"/>
  <c r="AS137" i="4" s="1"/>
  <c r="AT137" i="4" s="1"/>
  <c r="AU137" i="4" s="1"/>
  <c r="AO136" i="4"/>
  <c r="AP136" i="4" s="1"/>
  <c r="AQ136" i="4" s="1"/>
  <c r="AR136" i="4" s="1"/>
  <c r="AS136" i="4" s="1"/>
  <c r="AT136" i="4" s="1"/>
  <c r="AU136" i="4" s="1"/>
  <c r="AO129" i="4"/>
  <c r="AP129" i="4" s="1"/>
  <c r="AQ129" i="4" s="1"/>
  <c r="AR129" i="4" s="1"/>
  <c r="AS129" i="4" s="1"/>
  <c r="AT129" i="4" s="1"/>
  <c r="AU129" i="4" s="1"/>
  <c r="AO128" i="4"/>
  <c r="AP128" i="4" s="1"/>
  <c r="AQ128" i="4" s="1"/>
  <c r="AR128" i="4" s="1"/>
  <c r="AS128" i="4" s="1"/>
  <c r="AT128" i="4" s="1"/>
  <c r="AU128" i="4" s="1"/>
  <c r="AO104" i="4"/>
  <c r="AP104" i="4" s="1"/>
  <c r="AO101" i="4"/>
  <c r="AP101" i="4" s="1"/>
  <c r="AQ101" i="4" s="1"/>
  <c r="AR101" i="4" s="1"/>
  <c r="AS101" i="4" s="1"/>
  <c r="AT101" i="4" s="1"/>
  <c r="AO100" i="4"/>
  <c r="AP100" i="4" s="1"/>
  <c r="AQ100" i="4" s="1"/>
  <c r="AR100" i="4" s="1"/>
  <c r="AS100" i="4" s="1"/>
  <c r="AT100" i="4" s="1"/>
  <c r="AO96" i="4"/>
  <c r="AP96" i="4" s="1"/>
  <c r="AQ96" i="4" s="1"/>
  <c r="AR96" i="4" s="1"/>
  <c r="AS96" i="4" s="1"/>
  <c r="AT96" i="4" s="1"/>
  <c r="AO93" i="4"/>
  <c r="AO89" i="4"/>
  <c r="AO84" i="4"/>
  <c r="AO83" i="4"/>
  <c r="AO68" i="4"/>
  <c r="AP68" i="4" s="1"/>
  <c r="AO67" i="4"/>
  <c r="AP67" i="4" s="1"/>
  <c r="AO53" i="4"/>
  <c r="AP53" i="4" s="1"/>
  <c r="D41" i="2"/>
  <c r="D27" i="2"/>
  <c r="C41" i="2"/>
  <c r="C40" i="2"/>
  <c r="C39" i="2" l="1"/>
  <c r="AS33" i="4"/>
  <c r="AT33" i="4" s="1"/>
  <c r="AU100" i="4"/>
  <c r="AU101" i="4"/>
  <c r="AP84" i="4"/>
  <c r="AQ84" i="4" s="1"/>
  <c r="AR84" i="4" s="1"/>
  <c r="AS84" i="4" s="1"/>
  <c r="AT84" i="4" s="1"/>
  <c r="AQ29" i="4"/>
  <c r="AP89" i="4"/>
  <c r="AQ89" i="4" s="1"/>
  <c r="AR89" i="4" s="1"/>
  <c r="AS89" i="4" s="1"/>
  <c r="AT89" i="4" s="1"/>
  <c r="AP83" i="4"/>
  <c r="AQ83" i="4" s="1"/>
  <c r="AR83" i="4" s="1"/>
  <c r="AS83" i="4" s="1"/>
  <c r="AT83" i="4" s="1"/>
  <c r="AP93" i="4"/>
  <c r="AQ93" i="4" s="1"/>
  <c r="AR93" i="4" s="1"/>
  <c r="AS93" i="4" s="1"/>
  <c r="AT93" i="4" s="1"/>
  <c r="AQ170" i="4"/>
  <c r="AR170" i="4" s="1"/>
  <c r="AS170" i="4" s="1"/>
  <c r="AT170" i="4" s="1"/>
  <c r="AU96" i="4"/>
  <c r="J31" i="3"/>
  <c r="AU33" i="4" l="1"/>
  <c r="AR29" i="4"/>
  <c r="AS29" i="4" s="1"/>
  <c r="AT29" i="4" s="1"/>
  <c r="AU84" i="4"/>
  <c r="AU89" i="4"/>
  <c r="AU83" i="4"/>
  <c r="AU170" i="4"/>
  <c r="AU93" i="4"/>
  <c r="AU29" i="4" l="1"/>
  <c r="AD113" i="4"/>
  <c r="F41" i="2" l="1"/>
  <c r="F42" i="2"/>
  <c r="E42" i="2"/>
  <c r="G42" i="2" s="1"/>
  <c r="I83" i="3"/>
  <c r="I31" i="3"/>
  <c r="I133" i="3"/>
  <c r="E41" i="2" l="1"/>
  <c r="G41" i="2" s="1"/>
  <c r="T3" i="4"/>
  <c r="T27" i="4" l="1"/>
  <c r="U27" i="4" l="1"/>
  <c r="U26" i="4"/>
  <c r="AB25" i="4"/>
  <c r="AC25" i="4"/>
  <c r="AA28" i="4"/>
  <c r="Z28" i="4"/>
  <c r="Y28" i="4"/>
  <c r="X28" i="4"/>
  <c r="AA27" i="4"/>
  <c r="Z27" i="4"/>
  <c r="Y27" i="4"/>
  <c r="X27" i="4"/>
  <c r="AA26" i="4"/>
  <c r="Z26" i="4"/>
  <c r="Y26" i="4"/>
  <c r="X26" i="4"/>
  <c r="AJ27" i="4" l="1"/>
  <c r="AJ28" i="4"/>
  <c r="AJ26" i="4"/>
  <c r="X25" i="4"/>
  <c r="Y25" i="4"/>
  <c r="Z25" i="4"/>
  <c r="AA25" i="4"/>
  <c r="AE205" i="4"/>
  <c r="AD205" i="4"/>
  <c r="AF205" i="4" l="1"/>
  <c r="AJ25" i="4"/>
  <c r="AK26" i="4"/>
  <c r="AK27" i="4"/>
  <c r="AO42" i="4"/>
  <c r="AP42" i="4" s="1"/>
  <c r="AC73" i="4"/>
  <c r="AQ42" i="4" l="1"/>
  <c r="Q191" i="4"/>
  <c r="U191" i="4" s="1"/>
  <c r="P43" i="1" s="1"/>
  <c r="Q190" i="4"/>
  <c r="U190" i="4" s="1"/>
  <c r="Q189" i="4"/>
  <c r="Q187" i="4"/>
  <c r="Q186" i="4"/>
  <c r="U186" i="4" s="1"/>
  <c r="Q185" i="4"/>
  <c r="Q184" i="4"/>
  <c r="U184" i="4" s="1"/>
  <c r="P41" i="1" s="1"/>
  <c r="Q183" i="4"/>
  <c r="Q181" i="4"/>
  <c r="Q180" i="4"/>
  <c r="U180" i="4" s="1"/>
  <c r="Q179" i="4"/>
  <c r="Q177" i="4"/>
  <c r="Q175" i="4"/>
  <c r="Q173" i="4"/>
  <c r="U173" i="4" s="1"/>
  <c r="Q172" i="4"/>
  <c r="U172" i="4" s="1"/>
  <c r="Q171" i="4"/>
  <c r="U171" i="4" s="1"/>
  <c r="Q170" i="4"/>
  <c r="U170" i="4" s="1"/>
  <c r="Q169" i="4"/>
  <c r="Q168" i="4"/>
  <c r="Q167" i="4"/>
  <c r="Q165" i="4"/>
  <c r="Q164" i="4"/>
  <c r="U164" i="4" s="1"/>
  <c r="Q163" i="4"/>
  <c r="Q161" i="4"/>
  <c r="Q159" i="4"/>
  <c r="Q157" i="4"/>
  <c r="Q156" i="4"/>
  <c r="Q153" i="4"/>
  <c r="Q151" i="4"/>
  <c r="U151" i="4" s="1"/>
  <c r="Q150" i="4"/>
  <c r="U150" i="4" s="1"/>
  <c r="Q149" i="4"/>
  <c r="U149" i="4" s="1"/>
  <c r="Q148" i="4"/>
  <c r="U148" i="4" s="1"/>
  <c r="Q147" i="4"/>
  <c r="U147" i="4" s="1"/>
  <c r="Q146" i="4"/>
  <c r="Q145" i="4"/>
  <c r="Q144" i="4"/>
  <c r="Q142" i="4"/>
  <c r="Q138" i="4"/>
  <c r="U138" i="4" s="1"/>
  <c r="Q137" i="4"/>
  <c r="U137" i="4" s="1"/>
  <c r="Q136" i="4"/>
  <c r="U136" i="4" s="1"/>
  <c r="Q135" i="4"/>
  <c r="Q133" i="4"/>
  <c r="U133" i="4" s="1"/>
  <c r="Q132" i="4"/>
  <c r="Q131" i="4"/>
  <c r="Q129" i="4"/>
  <c r="U129" i="4" s="1"/>
  <c r="Q128" i="4"/>
  <c r="U128" i="4" s="1"/>
  <c r="Q127" i="4"/>
  <c r="Q125" i="4"/>
  <c r="Q123" i="4"/>
  <c r="Q118" i="4"/>
  <c r="Q117" i="4"/>
  <c r="Q114" i="4"/>
  <c r="Q109" i="4"/>
  <c r="U109" i="4" s="1"/>
  <c r="Q108" i="4"/>
  <c r="Q105" i="4"/>
  <c r="U105" i="4" s="1"/>
  <c r="Q104" i="4"/>
  <c r="U104" i="4" s="1"/>
  <c r="Q103" i="4"/>
  <c r="U103" i="4" s="1"/>
  <c r="Q101" i="4"/>
  <c r="U101" i="4" s="1"/>
  <c r="Q100" i="4"/>
  <c r="U100" i="4" s="1"/>
  <c r="Q99" i="4"/>
  <c r="U99" i="4" s="1"/>
  <c r="Q97" i="4"/>
  <c r="U97" i="4" s="1"/>
  <c r="Q96" i="4"/>
  <c r="U96" i="4" s="1"/>
  <c r="Q95" i="4"/>
  <c r="U95" i="4" s="1"/>
  <c r="Q93" i="4"/>
  <c r="U93" i="4" s="1"/>
  <c r="Q92" i="4"/>
  <c r="Q89" i="4"/>
  <c r="U89" i="4" s="1"/>
  <c r="Q88" i="4"/>
  <c r="U88" i="4" s="1"/>
  <c r="Q87" i="4"/>
  <c r="Q84" i="4"/>
  <c r="U84" i="4" s="1"/>
  <c r="Q83" i="4"/>
  <c r="U83" i="4" s="1"/>
  <c r="Q82" i="4"/>
  <c r="Q81" i="4"/>
  <c r="Q79" i="4"/>
  <c r="Q78" i="4"/>
  <c r="Q75" i="4"/>
  <c r="Q74" i="4"/>
  <c r="Q72" i="4"/>
  <c r="U72" i="4" s="1"/>
  <c r="Q71" i="4"/>
  <c r="U71" i="4" s="1"/>
  <c r="Q70" i="4"/>
  <c r="U70" i="4" s="1"/>
  <c r="Q69" i="4"/>
  <c r="U69" i="4" s="1"/>
  <c r="Q68" i="4"/>
  <c r="U68" i="4" s="1"/>
  <c r="Q67" i="4"/>
  <c r="U67" i="4" s="1"/>
  <c r="Q57" i="4"/>
  <c r="Q54" i="4"/>
  <c r="U54" i="4" s="1"/>
  <c r="P14" i="1" s="1"/>
  <c r="Q53" i="4"/>
  <c r="U53" i="4" s="1"/>
  <c r="Q52" i="4"/>
  <c r="Q51" i="4"/>
  <c r="Q50" i="4"/>
  <c r="Q48" i="4"/>
  <c r="Q47" i="4"/>
  <c r="Q46" i="4"/>
  <c r="Q44" i="4"/>
  <c r="U44" i="4" s="1"/>
  <c r="Q43" i="4"/>
  <c r="U43" i="4" s="1"/>
  <c r="Q42" i="4"/>
  <c r="U42" i="4" s="1"/>
  <c r="Q41" i="4"/>
  <c r="U41" i="4" s="1"/>
  <c r="Q40" i="4"/>
  <c r="Q39" i="4"/>
  <c r="Q38" i="4"/>
  <c r="Q36" i="4"/>
  <c r="Q34" i="4"/>
  <c r="Q32" i="4"/>
  <c r="Q31" i="4"/>
  <c r="U31" i="4" s="1"/>
  <c r="Q30" i="4"/>
  <c r="Q29" i="4"/>
  <c r="U29" i="4" s="1"/>
  <c r="Q28" i="4"/>
  <c r="U28" i="4" s="1"/>
  <c r="Q25" i="4"/>
  <c r="U25" i="4" s="1"/>
  <c r="Q24" i="4"/>
  <c r="Q23" i="4"/>
  <c r="Q22" i="4"/>
  <c r="Q20" i="4"/>
  <c r="Q19" i="4"/>
  <c r="Q12" i="4"/>
  <c r="U12" i="4" s="1"/>
  <c r="Q11" i="4"/>
  <c r="U11" i="4" s="1"/>
  <c r="Q10" i="4"/>
  <c r="U10" i="4" s="1"/>
  <c r="AB162" i="4"/>
  <c r="AC162" i="4"/>
  <c r="AE162" i="4"/>
  <c r="AG162" i="4"/>
  <c r="AH162" i="4"/>
  <c r="AI162" i="4"/>
  <c r="AL191" i="4"/>
  <c r="AL117" i="4"/>
  <c r="AB122" i="4"/>
  <c r="T195" i="4"/>
  <c r="T197" i="4" s="1"/>
  <c r="AB114" i="4"/>
  <c r="AJ114" i="4" s="1"/>
  <c r="P17" i="1" l="1"/>
  <c r="P31" i="1"/>
  <c r="P36" i="1"/>
  <c r="P35" i="1" s="1"/>
  <c r="AL184" i="4"/>
  <c r="AO43" i="4"/>
  <c r="AL118" i="4"/>
  <c r="AO44" i="4"/>
  <c r="AL177" i="4"/>
  <c r="AL115" i="4"/>
  <c r="AR42" i="4"/>
  <c r="AS42" i="4" s="1"/>
  <c r="AT42" i="4" s="1"/>
  <c r="AU42" i="4" s="1"/>
  <c r="AL42" i="4"/>
  <c r="AL84" i="4"/>
  <c r="AL157" i="4"/>
  <c r="AL68" i="4"/>
  <c r="AL114" i="4"/>
  <c r="AL181" i="4"/>
  <c r="AL82" i="4"/>
  <c r="AL43" i="4"/>
  <c r="AL83" i="4"/>
  <c r="AL44" i="4"/>
  <c r="AL186" i="4"/>
  <c r="AL48" i="4"/>
  <c r="AL86" i="4"/>
  <c r="AL142" i="4"/>
  <c r="AL145" i="4"/>
  <c r="AK121" i="4"/>
  <c r="AL132" i="4"/>
  <c r="AK161" i="4"/>
  <c r="AL168" i="4"/>
  <c r="AL81" i="4"/>
  <c r="AK125" i="4"/>
  <c r="AL136" i="4"/>
  <c r="AK142" i="4"/>
  <c r="AK163" i="4"/>
  <c r="AL170" i="4"/>
  <c r="AK183" i="4"/>
  <c r="AL183" i="4"/>
  <c r="AK28" i="4"/>
  <c r="AK81" i="4"/>
  <c r="AK82" i="4"/>
  <c r="AL96" i="4"/>
  <c r="AL138" i="4"/>
  <c r="AK145" i="4"/>
  <c r="AK165" i="4"/>
  <c r="AK185" i="4"/>
  <c r="AL185" i="4"/>
  <c r="AK146" i="4"/>
  <c r="AL155" i="4"/>
  <c r="AK107" i="4"/>
  <c r="AL120" i="4"/>
  <c r="AK168" i="4"/>
  <c r="AL175" i="4"/>
  <c r="AK187" i="4"/>
  <c r="AL187" i="4"/>
  <c r="AK159" i="4"/>
  <c r="AK123" i="4"/>
  <c r="AK23" i="4"/>
  <c r="AL40" i="4"/>
  <c r="AL46" i="4"/>
  <c r="AK47" i="4"/>
  <c r="AL104" i="4"/>
  <c r="AK111" i="4"/>
  <c r="AL123" i="4"/>
  <c r="AK132" i="4"/>
  <c r="AL159" i="4"/>
  <c r="AK169" i="4"/>
  <c r="AK189" i="4"/>
  <c r="AL189" i="4"/>
  <c r="AK181" i="4"/>
  <c r="AK144" i="4"/>
  <c r="AL153" i="4"/>
  <c r="AK30" i="4"/>
  <c r="AL47" i="4"/>
  <c r="AK40" i="4"/>
  <c r="AK86" i="4"/>
  <c r="AL100" i="4"/>
  <c r="AK167" i="4"/>
  <c r="AK46" i="4"/>
  <c r="AK131" i="4"/>
  <c r="AL140" i="4"/>
  <c r="AK48" i="4"/>
  <c r="AK115" i="4"/>
  <c r="AK32" i="4"/>
  <c r="AK92" i="4"/>
  <c r="AL107" i="4"/>
  <c r="AK135" i="4"/>
  <c r="AL144" i="4"/>
  <c r="AK155" i="4"/>
  <c r="AK175" i="4"/>
  <c r="AK39" i="4"/>
  <c r="AK22" i="4"/>
  <c r="AL39" i="4"/>
  <c r="AK87" i="4"/>
  <c r="AL101" i="4"/>
  <c r="AK74" i="4"/>
  <c r="AK75" i="4"/>
  <c r="AL89" i="4"/>
  <c r="AK51" i="4"/>
  <c r="AK77" i="4"/>
  <c r="AL91" i="4"/>
  <c r="AK118" i="4"/>
  <c r="AL129" i="4"/>
  <c r="AK156" i="4"/>
  <c r="AL163" i="4"/>
  <c r="AK177" i="4"/>
  <c r="AL179" i="4"/>
  <c r="AK79" i="4"/>
  <c r="AL93" i="4"/>
  <c r="AK140" i="4"/>
  <c r="AK127" i="4"/>
  <c r="AL137" i="4"/>
  <c r="AK108" i="4"/>
  <c r="AL121" i="4"/>
  <c r="AK91" i="4"/>
  <c r="AK153" i="4"/>
  <c r="AL161" i="4"/>
  <c r="AK50" i="4"/>
  <c r="AK117" i="4"/>
  <c r="AL128" i="4"/>
  <c r="AK36" i="4"/>
  <c r="AL53" i="4"/>
  <c r="AK114" i="4"/>
  <c r="AL125" i="4"/>
  <c r="AK38" i="4"/>
  <c r="AK52" i="4"/>
  <c r="AL67" i="4"/>
  <c r="AK78" i="4"/>
  <c r="AL92" i="4"/>
  <c r="AK120" i="4"/>
  <c r="AL131" i="4"/>
  <c r="AL146" i="4"/>
  <c r="AK157" i="4"/>
  <c r="AL164" i="4"/>
  <c r="AK179" i="4"/>
  <c r="AL180" i="4"/>
  <c r="AK184" i="4"/>
  <c r="AV184" i="4" s="1"/>
  <c r="AK170" i="4"/>
  <c r="AV170" i="4" s="1"/>
  <c r="AK137" i="4"/>
  <c r="AV137" i="4" s="1"/>
  <c r="AK93" i="4"/>
  <c r="AV93" i="4" s="1"/>
  <c r="AK104" i="4"/>
  <c r="AK136" i="4"/>
  <c r="AV136" i="4" s="1"/>
  <c r="AK148" i="4"/>
  <c r="AK72" i="4"/>
  <c r="AK186" i="4"/>
  <c r="AV186" i="4" s="1"/>
  <c r="AK96" i="4"/>
  <c r="AV96" i="4" s="1"/>
  <c r="AK29" i="4"/>
  <c r="F8" i="7" s="1"/>
  <c r="H8" i="7" s="1"/>
  <c r="AK69" i="4"/>
  <c r="AK71" i="4"/>
  <c r="AK133" i="4"/>
  <c r="AK70" i="4"/>
  <c r="AK54" i="4"/>
  <c r="AK41" i="4"/>
  <c r="AK100" i="4"/>
  <c r="AV100" i="4" s="1"/>
  <c r="AK25" i="4"/>
  <c r="F7" i="7" s="1"/>
  <c r="H7" i="7" s="1"/>
  <c r="AK42" i="4"/>
  <c r="AK67" i="4"/>
  <c r="AK101" i="4"/>
  <c r="AV101" i="4" s="1"/>
  <c r="AK164" i="4"/>
  <c r="AK180" i="4"/>
  <c r="AV180" i="4" s="1"/>
  <c r="AK128" i="4"/>
  <c r="AV128" i="4" s="1"/>
  <c r="AK83" i="4"/>
  <c r="AK43" i="4"/>
  <c r="AK68" i="4"/>
  <c r="AK84" i="4"/>
  <c r="AK103" i="4"/>
  <c r="AK129" i="4"/>
  <c r="AV129" i="4" s="1"/>
  <c r="AK150" i="4"/>
  <c r="AV150" i="4" s="1"/>
  <c r="AK44" i="4"/>
  <c r="AK105" i="4"/>
  <c r="AK31" i="4"/>
  <c r="AK89" i="4"/>
  <c r="AK138" i="4"/>
  <c r="AV138" i="4" s="1"/>
  <c r="AK53" i="4"/>
  <c r="AK191" i="4"/>
  <c r="AK190" i="4"/>
  <c r="AV190" i="4" s="1"/>
  <c r="AL216" i="4" l="1"/>
  <c r="AN216" i="4" s="1"/>
  <c r="F9" i="7"/>
  <c r="H9" i="7" s="1"/>
  <c r="AL215" i="4"/>
  <c r="AN215" i="4" s="1"/>
  <c r="AL214" i="4"/>
  <c r="AN214" i="4" s="1"/>
  <c r="AV68" i="4"/>
  <c r="AV83" i="4"/>
  <c r="AV53" i="4"/>
  <c r="AV29" i="4"/>
  <c r="AV44" i="4"/>
  <c r="AV70" i="4"/>
  <c r="AV71" i="4"/>
  <c r="AV72" i="4"/>
  <c r="AV42" i="4"/>
  <c r="AV89" i="4"/>
  <c r="AV67" i="4"/>
  <c r="AV54" i="4"/>
  <c r="AV43" i="4"/>
  <c r="AV69" i="4"/>
  <c r="AV84" i="4"/>
  <c r="AV164" i="4"/>
  <c r="AO164" i="4"/>
  <c r="AQ104" i="4"/>
  <c r="AU104" i="4" s="1"/>
  <c r="AV104" i="4" s="1"/>
  <c r="AO191" i="4"/>
  <c r="AP191" i="4" s="1"/>
  <c r="AQ105" i="4"/>
  <c r="AL190" i="4"/>
  <c r="AB76" i="4"/>
  <c r="AQ191" i="4" l="1"/>
  <c r="AR191" i="4" s="1"/>
  <c r="AS191" i="4" s="1"/>
  <c r="AT191" i="4" s="1"/>
  <c r="D35" i="3"/>
  <c r="AU191" i="4" l="1"/>
  <c r="AV191" i="4" s="1"/>
  <c r="Y56" i="4"/>
  <c r="F19" i="6"/>
  <c r="F5" i="6" s="1"/>
  <c r="F2" i="6" s="1"/>
  <c r="E5" i="6"/>
  <c r="E2" i="6" s="1"/>
  <c r="H5" i="6"/>
  <c r="D5" i="6"/>
  <c r="D2" i="6" s="1"/>
  <c r="E23" i="6"/>
  <c r="G23" i="6"/>
  <c r="G5" i="6" s="1"/>
  <c r="G2" i="6" s="1"/>
  <c r="H23" i="6"/>
  <c r="E41" i="6"/>
  <c r="E60" i="6" s="1"/>
  <c r="G41" i="6"/>
  <c r="G60" i="6" s="1"/>
  <c r="H41" i="6"/>
  <c r="D23" i="6"/>
  <c r="D41" i="6"/>
  <c r="D60" i="6" s="1"/>
  <c r="F55" i="6"/>
  <c r="F41" i="6" s="1"/>
  <c r="F60" i="6" s="1"/>
  <c r="F37" i="6"/>
  <c r="F23" i="6" s="1"/>
  <c r="W158" i="4" l="1"/>
  <c r="V158" i="4"/>
  <c r="D159" i="4"/>
  <c r="W159" i="4" s="1"/>
  <c r="AI158" i="4"/>
  <c r="AH158" i="4"/>
  <c r="AG158" i="4"/>
  <c r="AE158" i="4"/>
  <c r="AA158" i="4"/>
  <c r="Z158" i="4"/>
  <c r="Y158" i="4"/>
  <c r="X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AA154" i="4"/>
  <c r="G114" i="3"/>
  <c r="F114" i="3"/>
  <c r="G17" i="3"/>
  <c r="G235" i="3"/>
  <c r="G233" i="3"/>
  <c r="G229" i="3"/>
  <c r="G228" i="3" s="1"/>
  <c r="G226" i="3"/>
  <c r="G225" i="3" s="1"/>
  <c r="G221" i="3"/>
  <c r="G217" i="3"/>
  <c r="G212" i="3"/>
  <c r="G211" i="3" s="1"/>
  <c r="G209" i="3"/>
  <c r="G207" i="3"/>
  <c r="G204" i="3"/>
  <c r="G202" i="3"/>
  <c r="G200" i="3"/>
  <c r="G196" i="3"/>
  <c r="G194" i="3"/>
  <c r="G191" i="3"/>
  <c r="G190" i="3" s="1"/>
  <c r="G181" i="3"/>
  <c r="G179" i="3"/>
  <c r="G177" i="3"/>
  <c r="G175" i="3"/>
  <c r="G173" i="3"/>
  <c r="G171" i="3"/>
  <c r="G166" i="3"/>
  <c r="G162" i="3"/>
  <c r="G158" i="3"/>
  <c r="G157" i="3" s="1"/>
  <c r="G155" i="3"/>
  <c r="G153" i="3"/>
  <c r="G152" i="3" s="1"/>
  <c r="G147" i="3"/>
  <c r="G145" i="3"/>
  <c r="G143" i="3"/>
  <c r="G141" i="3"/>
  <c r="G136" i="3"/>
  <c r="G134" i="3"/>
  <c r="G131" i="3"/>
  <c r="G129" i="3"/>
  <c r="G125" i="3"/>
  <c r="G123" i="3"/>
  <c r="G120" i="3"/>
  <c r="G112" i="3"/>
  <c r="G109" i="3"/>
  <c r="G107" i="3"/>
  <c r="G98" i="3"/>
  <c r="G97" i="3" s="1"/>
  <c r="G95" i="3"/>
  <c r="G93" i="3"/>
  <c r="G90" i="3"/>
  <c r="G88" i="3"/>
  <c r="G86" i="3"/>
  <c r="G83" i="3"/>
  <c r="G84" i="3"/>
  <c r="G81" i="3"/>
  <c r="G79" i="3"/>
  <c r="G76" i="3"/>
  <c r="G74" i="3"/>
  <c r="G71" i="3"/>
  <c r="G69" i="3"/>
  <c r="G66" i="3"/>
  <c r="G64" i="3"/>
  <c r="G62" i="3"/>
  <c r="G60" i="3"/>
  <c r="G58" i="3"/>
  <c r="G56" i="3"/>
  <c r="G52" i="3"/>
  <c r="G48" i="3"/>
  <c r="G45" i="3"/>
  <c r="G42" i="3"/>
  <c r="G43" i="3"/>
  <c r="G35" i="3"/>
  <c r="G34" i="3" s="1"/>
  <c r="G31" i="3"/>
  <c r="G29" i="3"/>
  <c r="G27" i="3"/>
  <c r="G19" i="3"/>
  <c r="AO158" i="4" l="1"/>
  <c r="AP158" i="4" s="1"/>
  <c r="AQ158" i="4" s="1"/>
  <c r="AR158" i="4" s="1"/>
  <c r="AS158" i="4" s="1"/>
  <c r="AT158" i="4" s="1"/>
  <c r="AJ158" i="4"/>
  <c r="Q158" i="4"/>
  <c r="U158" i="4" s="1"/>
  <c r="AL165" i="4"/>
  <c r="G47" i="3"/>
  <c r="G78" i="3"/>
  <c r="G128" i="3"/>
  <c r="G206" i="3"/>
  <c r="G68" i="3"/>
  <c r="G193" i="3"/>
  <c r="G214" i="3"/>
  <c r="G232" i="3"/>
  <c r="G231" i="3" s="1"/>
  <c r="G16" i="3"/>
  <c r="G73" i="3"/>
  <c r="G161" i="3"/>
  <c r="G122" i="3"/>
  <c r="G133" i="3"/>
  <c r="G92" i="3"/>
  <c r="G199" i="3"/>
  <c r="G170" i="3"/>
  <c r="G140" i="3"/>
  <c r="G104" i="3"/>
  <c r="G55" i="3"/>
  <c r="AU158" i="4" l="1"/>
  <c r="AK158" i="4"/>
  <c r="G15" i="3"/>
  <c r="G189" i="3"/>
  <c r="G127" i="3"/>
  <c r="G198" i="3"/>
  <c r="G54" i="3"/>
  <c r="AA10" i="4"/>
  <c r="AV158" i="4" l="1"/>
  <c r="G13" i="3"/>
  <c r="G12" i="3" l="1"/>
  <c r="AA195" i="4"/>
  <c r="Z24" i="4" l="1"/>
  <c r="AJ24" i="4" s="1"/>
  <c r="W93" i="4"/>
  <c r="V93" i="4"/>
  <c r="Y34" i="4"/>
  <c r="AO41" i="4" l="1"/>
  <c r="AP41" i="4" s="1"/>
  <c r="Y10" i="4"/>
  <c r="AQ41" i="4" l="1"/>
  <c r="AK24" i="4"/>
  <c r="AL41" i="4"/>
  <c r="X173" i="4"/>
  <c r="AJ173" i="4" s="1"/>
  <c r="X172" i="4"/>
  <c r="AJ172" i="4" s="1"/>
  <c r="X171" i="4"/>
  <c r="AJ171" i="4" s="1"/>
  <c r="X151" i="4"/>
  <c r="X149" i="4"/>
  <c r="X147" i="4"/>
  <c r="AJ147" i="4" s="1"/>
  <c r="X109" i="4"/>
  <c r="AJ109" i="4" s="1"/>
  <c r="X99" i="4"/>
  <c r="X97" i="4"/>
  <c r="AJ97" i="4" s="1"/>
  <c r="X95" i="4"/>
  <c r="X94" i="4"/>
  <c r="AJ94" i="4" s="1"/>
  <c r="X88" i="4"/>
  <c r="AO99" i="4" l="1"/>
  <c r="AP99" i="4" s="1"/>
  <c r="AQ99" i="4" s="1"/>
  <c r="AR99" i="4" s="1"/>
  <c r="AS99" i="4" s="1"/>
  <c r="AT99" i="4" s="1"/>
  <c r="AJ99" i="4"/>
  <c r="AL99" i="4" s="1"/>
  <c r="AO149" i="4"/>
  <c r="AP149" i="4" s="1"/>
  <c r="AQ149" i="4" s="1"/>
  <c r="AR149" i="4" s="1"/>
  <c r="AS149" i="4" s="1"/>
  <c r="AT149" i="4" s="1"/>
  <c r="AU149" i="4" s="1"/>
  <c r="AJ149" i="4"/>
  <c r="AL149" i="4" s="1"/>
  <c r="AO151" i="4"/>
  <c r="AP151" i="4" s="1"/>
  <c r="AQ151" i="4" s="1"/>
  <c r="AR151" i="4" s="1"/>
  <c r="AS151" i="4" s="1"/>
  <c r="AT151" i="4" s="1"/>
  <c r="AU151" i="4" s="1"/>
  <c r="AJ151" i="4"/>
  <c r="AL151" i="4" s="1"/>
  <c r="AO88" i="4"/>
  <c r="AP88" i="4" s="1"/>
  <c r="AQ88" i="4" s="1"/>
  <c r="AR88" i="4" s="1"/>
  <c r="AS88" i="4" s="1"/>
  <c r="AT88" i="4" s="1"/>
  <c r="AJ88" i="4"/>
  <c r="AL88" i="4" s="1"/>
  <c r="AO95" i="4"/>
  <c r="AP95" i="4" s="1"/>
  <c r="AQ95" i="4" s="1"/>
  <c r="AR95" i="4" s="1"/>
  <c r="AS95" i="4" s="1"/>
  <c r="AT95" i="4" s="1"/>
  <c r="AJ95" i="4"/>
  <c r="AL95" i="4" s="1"/>
  <c r="AR41" i="4"/>
  <c r="AS41" i="4" s="1"/>
  <c r="AT41" i="4" s="1"/>
  <c r="AL97" i="4"/>
  <c r="AO97" i="4"/>
  <c r="AL147" i="4"/>
  <c r="AL171" i="4"/>
  <c r="AO171" i="4"/>
  <c r="AP171" i="4" s="1"/>
  <c r="AL172" i="4"/>
  <c r="AO172" i="4"/>
  <c r="AL156" i="4"/>
  <c r="AL111" i="4"/>
  <c r="AO103" i="4"/>
  <c r="AO109" i="4"/>
  <c r="AP109" i="4" s="1"/>
  <c r="Z21" i="4"/>
  <c r="AI21" i="4"/>
  <c r="AH21" i="4"/>
  <c r="AG21" i="4"/>
  <c r="AF21" i="4"/>
  <c r="AE21" i="4"/>
  <c r="AP21" i="4" s="1"/>
  <c r="AD21" i="4"/>
  <c r="AC21" i="4"/>
  <c r="AB21" i="4"/>
  <c r="P21" i="4"/>
  <c r="O21" i="4"/>
  <c r="N21" i="4"/>
  <c r="M21" i="4"/>
  <c r="L21" i="4"/>
  <c r="K21" i="4"/>
  <c r="J21" i="4"/>
  <c r="I21" i="4"/>
  <c r="H21" i="4"/>
  <c r="G21" i="4"/>
  <c r="F21" i="4"/>
  <c r="E21" i="4"/>
  <c r="AA34" i="4"/>
  <c r="AA14" i="4"/>
  <c r="AA12" i="4"/>
  <c r="AA11" i="4"/>
  <c r="AU41" i="4" l="1"/>
  <c r="AV41" i="4" s="1"/>
  <c r="AU99" i="4"/>
  <c r="AK171" i="4"/>
  <c r="AU95" i="4"/>
  <c r="AU88" i="4"/>
  <c r="AQ171" i="4"/>
  <c r="AR171" i="4" s="1"/>
  <c r="AS171" i="4" s="1"/>
  <c r="AT171" i="4" s="1"/>
  <c r="AU171" i="4" s="1"/>
  <c r="AP103" i="4"/>
  <c r="AQ103" i="4" s="1"/>
  <c r="AR103" i="4" s="1"/>
  <c r="AS103" i="4" s="1"/>
  <c r="AT103" i="4" s="1"/>
  <c r="AK97" i="4"/>
  <c r="AQ109" i="4"/>
  <c r="AR109" i="4" s="1"/>
  <c r="AS109" i="4" s="1"/>
  <c r="AT109" i="4" s="1"/>
  <c r="AK172" i="4"/>
  <c r="AP97" i="4"/>
  <c r="AQ97" i="4" s="1"/>
  <c r="AR97" i="4" s="1"/>
  <c r="AS97" i="4" s="1"/>
  <c r="AT97" i="4" s="1"/>
  <c r="AK147" i="4"/>
  <c r="AK95" i="4"/>
  <c r="AL109" i="4"/>
  <c r="AK173" i="4"/>
  <c r="AK109" i="4"/>
  <c r="AK151" i="4"/>
  <c r="AK149" i="4"/>
  <c r="AL158" i="4"/>
  <c r="AK88" i="4"/>
  <c r="AL103" i="4"/>
  <c r="AK99" i="4"/>
  <c r="Q21" i="4"/>
  <c r="U21" i="4" s="1"/>
  <c r="AA21" i="4"/>
  <c r="X21" i="4"/>
  <c r="Y21" i="4"/>
  <c r="AJ21" i="4" l="1"/>
  <c r="AV171" i="4"/>
  <c r="AV173" i="4"/>
  <c r="AV95" i="4"/>
  <c r="AV99" i="4"/>
  <c r="AV88" i="4"/>
  <c r="AV151" i="4"/>
  <c r="AV147" i="4"/>
  <c r="AV172" i="4"/>
  <c r="AU103" i="4"/>
  <c r="AV103" i="4" s="1"/>
  <c r="AU109" i="4"/>
  <c r="AV109" i="4" s="1"/>
  <c r="AV149" i="4"/>
  <c r="AU97" i="4"/>
  <c r="AV97" i="4" s="1"/>
  <c r="X14" i="4"/>
  <c r="X12" i="4"/>
  <c r="X11" i="4"/>
  <c r="X10" i="4"/>
  <c r="AL21" i="4" l="1"/>
  <c r="AK18" i="4"/>
  <c r="AK21" i="4"/>
  <c r="AL38" i="4"/>
  <c r="Z34" i="4"/>
  <c r="AJ34" i="4" s="1"/>
  <c r="Z14" i="4"/>
  <c r="Z12" i="4"/>
  <c r="Z11" i="4"/>
  <c r="Z10" i="4"/>
  <c r="AJ10" i="4" s="1"/>
  <c r="AV21" i="4" l="1"/>
  <c r="AK34" i="4"/>
  <c r="AL51" i="4"/>
  <c r="AL27" i="4"/>
  <c r="AL20" i="4"/>
  <c r="AL19" i="4"/>
  <c r="Y14" i="4"/>
  <c r="AJ14" i="4" s="1"/>
  <c r="Y12" i="4"/>
  <c r="AJ12" i="4" s="1"/>
  <c r="Y11" i="4"/>
  <c r="AJ11" i="4" s="1"/>
  <c r="AK19" i="4" l="1"/>
  <c r="AL36" i="4"/>
  <c r="AO31" i="4"/>
  <c r="AK20" i="4"/>
  <c r="AL11" i="4"/>
  <c r="AI188" i="4"/>
  <c r="AH188" i="4"/>
  <c r="AG188" i="4"/>
  <c r="AF188" i="4"/>
  <c r="AE188" i="4"/>
  <c r="AC188" i="4"/>
  <c r="AB188" i="4"/>
  <c r="AA188" i="4"/>
  <c r="Z188" i="4"/>
  <c r="Y188" i="4"/>
  <c r="X188" i="4"/>
  <c r="AF182" i="4"/>
  <c r="AF178" i="4" s="1"/>
  <c r="AF176" i="4" s="1"/>
  <c r="AF174" i="4" s="1"/>
  <c r="AE182" i="4"/>
  <c r="AE178" i="4" s="1"/>
  <c r="AE176" i="4" s="1"/>
  <c r="AE174" i="4" s="1"/>
  <c r="AD182" i="4"/>
  <c r="AG166" i="4"/>
  <c r="AC166" i="4"/>
  <c r="Y166" i="4"/>
  <c r="AA162" i="4"/>
  <c r="Z162" i="4"/>
  <c r="Y162" i="4"/>
  <c r="X162" i="4"/>
  <c r="AI160" i="4"/>
  <c r="AH160" i="4"/>
  <c r="AG160" i="4"/>
  <c r="AE160" i="4"/>
  <c r="AB160" i="4"/>
  <c r="AA160" i="4"/>
  <c r="Z160" i="4"/>
  <c r="Y160" i="4"/>
  <c r="X160" i="4"/>
  <c r="AI154" i="4"/>
  <c r="AI152" i="4" s="1"/>
  <c r="AI130" i="4" s="1"/>
  <c r="AI126" i="4" s="1"/>
  <c r="AI110" i="4" s="1"/>
  <c r="AI85" i="4" s="1"/>
  <c r="AI45" i="4" s="1"/>
  <c r="AH154" i="4"/>
  <c r="AH152" i="4" s="1"/>
  <c r="AH130" i="4" s="1"/>
  <c r="AH126" i="4" s="1"/>
  <c r="AH110" i="4" s="1"/>
  <c r="AH85" i="4" s="1"/>
  <c r="AH45" i="4" s="1"/>
  <c r="AG154" i="4"/>
  <c r="AG152" i="4" s="1"/>
  <c r="AG130" i="4" s="1"/>
  <c r="AG126" i="4" s="1"/>
  <c r="AG110" i="4" s="1"/>
  <c r="AG85" i="4" s="1"/>
  <c r="AG45" i="4" s="1"/>
  <c r="AF154" i="4"/>
  <c r="AB154" i="4"/>
  <c r="Z154" i="4"/>
  <c r="Z152" i="4" s="1"/>
  <c r="Z130" i="4" s="1"/>
  <c r="Z126" i="4" s="1"/>
  <c r="Y154" i="4"/>
  <c r="Y152" i="4" s="1"/>
  <c r="Y130" i="4" s="1"/>
  <c r="Y126" i="4" s="1"/>
  <c r="X154" i="4"/>
  <c r="AF85" i="4"/>
  <c r="AF45" i="4" s="1"/>
  <c r="AB152" i="4"/>
  <c r="AA152" i="4"/>
  <c r="AA130" i="4" s="1"/>
  <c r="AA126" i="4" s="1"/>
  <c r="AI143" i="4"/>
  <c r="AH143" i="4"/>
  <c r="AG143" i="4"/>
  <c r="AC143" i="4"/>
  <c r="AB143" i="4"/>
  <c r="AA143" i="4"/>
  <c r="Z143" i="4"/>
  <c r="Y143" i="4"/>
  <c r="X143" i="4"/>
  <c r="AH141" i="4"/>
  <c r="AJ141" i="4" s="1"/>
  <c r="AI139" i="4"/>
  <c r="AH139" i="4"/>
  <c r="AG139" i="4"/>
  <c r="AE139" i="4"/>
  <c r="AD139" i="4"/>
  <c r="AA139" i="4"/>
  <c r="Z139" i="4"/>
  <c r="Y139" i="4"/>
  <c r="X139" i="4"/>
  <c r="AI134" i="4"/>
  <c r="AH134" i="4"/>
  <c r="AG134" i="4"/>
  <c r="AF134" i="4"/>
  <c r="AE134" i="4"/>
  <c r="AC134" i="4"/>
  <c r="AB134" i="4"/>
  <c r="AA134" i="4"/>
  <c r="Z134" i="4"/>
  <c r="Y134" i="4"/>
  <c r="X134" i="4"/>
  <c r="AI124" i="4"/>
  <c r="AH124" i="4"/>
  <c r="AG124" i="4"/>
  <c r="AF124" i="4"/>
  <c r="AE124" i="4"/>
  <c r="AB124" i="4"/>
  <c r="AA124" i="4"/>
  <c r="Z124" i="4"/>
  <c r="Y124" i="4"/>
  <c r="X124" i="4"/>
  <c r="AI122" i="4"/>
  <c r="AH122" i="4"/>
  <c r="AG122" i="4"/>
  <c r="AF122" i="4"/>
  <c r="AE122" i="4"/>
  <c r="AA122" i="4"/>
  <c r="Z122" i="4"/>
  <c r="Y122" i="4"/>
  <c r="AI119" i="4"/>
  <c r="AG119" i="4"/>
  <c r="AB119" i="4"/>
  <c r="AA119" i="4"/>
  <c r="Z119" i="4"/>
  <c r="X119" i="4"/>
  <c r="AI116" i="4"/>
  <c r="AH116" i="4"/>
  <c r="AG116" i="4"/>
  <c r="AB116" i="4"/>
  <c r="AA116" i="4"/>
  <c r="Z116" i="4"/>
  <c r="Y116" i="4"/>
  <c r="X116" i="4"/>
  <c r="AH113" i="4"/>
  <c r="AI113" i="4"/>
  <c r="AG113" i="4"/>
  <c r="Z113" i="4"/>
  <c r="Y113" i="4"/>
  <c r="X113" i="4"/>
  <c r="AI106" i="4"/>
  <c r="AH106" i="4"/>
  <c r="AG106" i="4"/>
  <c r="AF106" i="4"/>
  <c r="AE106" i="4"/>
  <c r="AA106" i="4"/>
  <c r="Y106" i="4"/>
  <c r="X106" i="4"/>
  <c r="AA90" i="4"/>
  <c r="AI90" i="4"/>
  <c r="AH90" i="4"/>
  <c r="AG90" i="4"/>
  <c r="AF90" i="4"/>
  <c r="AE90" i="4"/>
  <c r="AB90" i="4"/>
  <c r="Z90" i="4"/>
  <c r="Y90" i="4"/>
  <c r="X90" i="4"/>
  <c r="AB85" i="4"/>
  <c r="AB45" i="4" s="1"/>
  <c r="AA85" i="4"/>
  <c r="AA45" i="4" s="1"/>
  <c r="Z85" i="4"/>
  <c r="Z45" i="4" s="1"/>
  <c r="Y85" i="4"/>
  <c r="AI80" i="4"/>
  <c r="AH80" i="4"/>
  <c r="AG80" i="4"/>
  <c r="AF80" i="4"/>
  <c r="AE80" i="4"/>
  <c r="AB80" i="4"/>
  <c r="AA80" i="4"/>
  <c r="Z80" i="4"/>
  <c r="Y80" i="4"/>
  <c r="AI76" i="4"/>
  <c r="AH76" i="4"/>
  <c r="AG76" i="4"/>
  <c r="AF76" i="4"/>
  <c r="AE76" i="4"/>
  <c r="AC76" i="4"/>
  <c r="AA76" i="4"/>
  <c r="Z76" i="4"/>
  <c r="Y76" i="4"/>
  <c r="X76" i="4"/>
  <c r="AI73" i="4"/>
  <c r="AH73" i="4"/>
  <c r="AG73" i="4"/>
  <c r="AA73" i="4"/>
  <c r="Z73" i="4"/>
  <c r="Y73" i="4"/>
  <c r="AI63" i="4"/>
  <c r="AG63" i="4"/>
  <c r="AA63" i="4"/>
  <c r="Y63" i="4"/>
  <c r="AH63" i="4"/>
  <c r="Z63" i="4"/>
  <c r="X63" i="4"/>
  <c r="AG59" i="4"/>
  <c r="AI59" i="4"/>
  <c r="AH59" i="4"/>
  <c r="AA59" i="4"/>
  <c r="Y59" i="4"/>
  <c r="Z59" i="4"/>
  <c r="Y55" i="4"/>
  <c r="AI55" i="4"/>
  <c r="AG55" i="4"/>
  <c r="AA55" i="4"/>
  <c r="Z55" i="4"/>
  <c r="AH55" i="4"/>
  <c r="X55" i="4"/>
  <c r="AI49" i="4"/>
  <c r="AH49" i="4"/>
  <c r="AG49" i="4"/>
  <c r="AF49" i="4"/>
  <c r="AE49" i="4"/>
  <c r="AB49" i="4"/>
  <c r="AA49" i="4"/>
  <c r="Z49" i="4"/>
  <c r="Y49" i="4"/>
  <c r="X49" i="4"/>
  <c r="Y45" i="4"/>
  <c r="X45" i="4"/>
  <c r="AI37" i="4"/>
  <c r="AH37" i="4"/>
  <c r="AG37" i="4"/>
  <c r="AF37" i="4"/>
  <c r="AE37" i="4"/>
  <c r="AD37" i="4"/>
  <c r="AC37" i="4"/>
  <c r="AB37" i="4"/>
  <c r="AA37" i="4"/>
  <c r="Z37" i="4"/>
  <c r="Y37" i="4"/>
  <c r="X37" i="4"/>
  <c r="AA35" i="4"/>
  <c r="Z35" i="4"/>
  <c r="Y35" i="4"/>
  <c r="X35" i="4"/>
  <c r="AI33" i="4"/>
  <c r="AH33" i="4"/>
  <c r="AD33" i="4"/>
  <c r="AC33" i="4"/>
  <c r="AB33" i="4"/>
  <c r="AA33" i="4"/>
  <c r="Z33" i="4"/>
  <c r="Y33" i="4"/>
  <c r="X33" i="4"/>
  <c r="Y17" i="4"/>
  <c r="AI17" i="4"/>
  <c r="AH17" i="4"/>
  <c r="AG17" i="4"/>
  <c r="AF17" i="4"/>
  <c r="AE17" i="4"/>
  <c r="AD17" i="4"/>
  <c r="AB17" i="4"/>
  <c r="AA17" i="4"/>
  <c r="Z17" i="4"/>
  <c r="X17" i="4"/>
  <c r="AH13" i="4"/>
  <c r="AI13" i="4"/>
  <c r="AB13" i="4"/>
  <c r="Y13" i="4"/>
  <c r="AD13" i="4"/>
  <c r="AA13" i="4"/>
  <c r="AI9" i="4"/>
  <c r="AH9" i="4"/>
  <c r="AC9" i="4"/>
  <c r="AB9" i="4"/>
  <c r="AA9" i="4"/>
  <c r="Z9" i="4"/>
  <c r="Y9" i="4"/>
  <c r="X9" i="4"/>
  <c r="AJ9" i="4" l="1"/>
  <c r="AJ166" i="4"/>
  <c r="AJ63" i="4"/>
  <c r="AJ154" i="4"/>
  <c r="AJ106" i="4"/>
  <c r="AJ55" i="4"/>
  <c r="AJ73" i="4"/>
  <c r="AJ113" i="4"/>
  <c r="AJ160" i="4"/>
  <c r="AJ143" i="4"/>
  <c r="AJ37" i="4"/>
  <c r="AJ139" i="4"/>
  <c r="AQ94" i="4"/>
  <c r="AR94" i="4" s="1"/>
  <c r="AS94" i="4" s="1"/>
  <c r="AT94" i="4" s="1"/>
  <c r="AJ80" i="4"/>
  <c r="AJ134" i="4"/>
  <c r="AJ90" i="4"/>
  <c r="AJ76" i="4"/>
  <c r="AJ116" i="4"/>
  <c r="AJ124" i="4"/>
  <c r="AJ49" i="4"/>
  <c r="AO188" i="4"/>
  <c r="AP188" i="4" s="1"/>
  <c r="AJ188" i="4"/>
  <c r="AJ35" i="4"/>
  <c r="AJ162" i="4"/>
  <c r="AJ17" i="4"/>
  <c r="AJ122" i="4"/>
  <c r="AJ33" i="4"/>
  <c r="AO113" i="4"/>
  <c r="AP113" i="4" s="1"/>
  <c r="AF192" i="4"/>
  <c r="AP17" i="4"/>
  <c r="AO13" i="4"/>
  <c r="AD192" i="4"/>
  <c r="AD196" i="4" s="1"/>
  <c r="AG182" i="4"/>
  <c r="AG178" i="4" s="1"/>
  <c r="AG176" i="4" s="1"/>
  <c r="AG174" i="4" s="1"/>
  <c r="AG192" i="4" s="1"/>
  <c r="AI182" i="4"/>
  <c r="AI178" i="4" s="1"/>
  <c r="AI176" i="4" s="1"/>
  <c r="AI174" i="4" s="1"/>
  <c r="AH182" i="4"/>
  <c r="AH178" i="4" s="1"/>
  <c r="AH176" i="4" s="1"/>
  <c r="AH174" i="4" s="1"/>
  <c r="Y182" i="4"/>
  <c r="Y178" i="4" s="1"/>
  <c r="Y176" i="4" s="1"/>
  <c r="Y174" i="4" s="1"/>
  <c r="Z182" i="4"/>
  <c r="Z178" i="4" s="1"/>
  <c r="Z176" i="4" s="1"/>
  <c r="Z174" i="4" s="1"/>
  <c r="AA182" i="4"/>
  <c r="AA178" i="4" s="1"/>
  <c r="AA176" i="4" s="1"/>
  <c r="AA174" i="4" s="1"/>
  <c r="AO139" i="4"/>
  <c r="AP139" i="4" s="1"/>
  <c r="AQ139" i="4" s="1"/>
  <c r="AR139" i="4" s="1"/>
  <c r="AS139" i="4" s="1"/>
  <c r="AT139" i="4" s="1"/>
  <c r="AU139" i="4" s="1"/>
  <c r="AO116" i="4"/>
  <c r="AP116" i="4" s="1"/>
  <c r="AQ116" i="4" s="1"/>
  <c r="AR116" i="4" s="1"/>
  <c r="AS116" i="4" s="1"/>
  <c r="AT116" i="4" s="1"/>
  <c r="AU116" i="4" s="1"/>
  <c r="AO35" i="4"/>
  <c r="AP35" i="4" s="1"/>
  <c r="AO45" i="4"/>
  <c r="AP45" i="4" s="1"/>
  <c r="AQ113" i="4"/>
  <c r="AR113" i="4" s="1"/>
  <c r="AS113" i="4" s="1"/>
  <c r="AT113" i="4" s="1"/>
  <c r="AQ31" i="4"/>
  <c r="AO85" i="4"/>
  <c r="AO160" i="4"/>
  <c r="AP160" i="4" s="1"/>
  <c r="AO143" i="4"/>
  <c r="AP143" i="4" s="1"/>
  <c r="AO134" i="4"/>
  <c r="AP134" i="4" s="1"/>
  <c r="AQ134" i="4" s="1"/>
  <c r="AR134" i="4" s="1"/>
  <c r="AS134" i="4" s="1"/>
  <c r="AT134" i="4" s="1"/>
  <c r="AU134" i="4" s="1"/>
  <c r="X152" i="4"/>
  <c r="AO154" i="4"/>
  <c r="AP154" i="4" s="1"/>
  <c r="AO133" i="4"/>
  <c r="AP133" i="4" s="1"/>
  <c r="AQ133" i="4" s="1"/>
  <c r="AR133" i="4" s="1"/>
  <c r="AS133" i="4" s="1"/>
  <c r="AT133" i="4" s="1"/>
  <c r="AU133" i="4" s="1"/>
  <c r="AV133" i="4" s="1"/>
  <c r="AO122" i="4"/>
  <c r="AP122" i="4" s="1"/>
  <c r="AQ122" i="4" s="1"/>
  <c r="AR122" i="4" s="1"/>
  <c r="AS122" i="4" s="1"/>
  <c r="AT122" i="4" s="1"/>
  <c r="AU122" i="4" s="1"/>
  <c r="AO69" i="4"/>
  <c r="AP69" i="4" s="1"/>
  <c r="AO55" i="4"/>
  <c r="AP55" i="4" s="1"/>
  <c r="AO63" i="4"/>
  <c r="AP63" i="4" s="1"/>
  <c r="X182" i="4"/>
  <c r="AO173" i="4"/>
  <c r="AP173" i="4" s="1"/>
  <c r="X130" i="4"/>
  <c r="X178" i="4"/>
  <c r="AO54" i="4"/>
  <c r="AP54" i="4" s="1"/>
  <c r="AL28" i="4"/>
  <c r="AL29" i="4"/>
  <c r="AO90" i="4"/>
  <c r="AB58" i="4"/>
  <c r="AB62" i="4"/>
  <c r="AB66" i="4"/>
  <c r="AC58" i="4"/>
  <c r="AB182" i="4"/>
  <c r="AC182" i="4"/>
  <c r="AO105" i="4"/>
  <c r="AO124" i="4"/>
  <c r="AP124" i="4" s="1"/>
  <c r="AQ124" i="4" s="1"/>
  <c r="AR124" i="4" s="1"/>
  <c r="AS124" i="4" s="1"/>
  <c r="AT124" i="4" s="1"/>
  <c r="AU124" i="4" s="1"/>
  <c r="AO148" i="4"/>
  <c r="AP148" i="4" s="1"/>
  <c r="AQ148" i="4" s="1"/>
  <c r="AR148" i="4" s="1"/>
  <c r="AS148" i="4" s="1"/>
  <c r="AT148" i="4" s="1"/>
  <c r="AU148" i="4" s="1"/>
  <c r="Y7" i="4"/>
  <c r="AC13" i="4"/>
  <c r="AC66" i="4" s="1"/>
  <c r="Z13" i="4"/>
  <c r="AH119" i="4"/>
  <c r="X13" i="4"/>
  <c r="Y119" i="4"/>
  <c r="AO119" i="4" s="1"/>
  <c r="AP119" i="4" s="1"/>
  <c r="AQ119" i="4" s="1"/>
  <c r="AR119" i="4" s="1"/>
  <c r="AS119" i="4" s="1"/>
  <c r="AT119" i="4" s="1"/>
  <c r="AU119" i="4" s="1"/>
  <c r="X59" i="4"/>
  <c r="AJ66" i="4" l="1"/>
  <c r="AJ13" i="4"/>
  <c r="AO152" i="4"/>
  <c r="AP152" i="4" s="1"/>
  <c r="AQ152" i="4" s="1"/>
  <c r="AR152" i="4" s="1"/>
  <c r="AS152" i="4" s="1"/>
  <c r="AT152" i="4" s="1"/>
  <c r="AU152" i="4" s="1"/>
  <c r="AJ119" i="4"/>
  <c r="AO59" i="4"/>
  <c r="AP59" i="4" s="1"/>
  <c r="AJ59" i="4"/>
  <c r="AJ58" i="4"/>
  <c r="AL58" i="4" s="1"/>
  <c r="X126" i="4"/>
  <c r="AO126" i="4" s="1"/>
  <c r="AP126" i="4" s="1"/>
  <c r="AQ126" i="4" s="1"/>
  <c r="AR126" i="4" s="1"/>
  <c r="AS126" i="4" s="1"/>
  <c r="AT126" i="4" s="1"/>
  <c r="AU126" i="4" s="1"/>
  <c r="AJ182" i="4"/>
  <c r="Y192" i="4"/>
  <c r="AU94" i="4"/>
  <c r="AH192" i="4"/>
  <c r="AI192" i="4"/>
  <c r="Z192" i="4"/>
  <c r="AA192" i="4"/>
  <c r="AA196" i="4" s="1"/>
  <c r="AR31" i="4"/>
  <c r="AS31" i="4" s="1"/>
  <c r="AT31" i="4" s="1"/>
  <c r="AO130" i="4"/>
  <c r="AP130" i="4" s="1"/>
  <c r="AQ130" i="4" s="1"/>
  <c r="AR130" i="4" s="1"/>
  <c r="AS130" i="4" s="1"/>
  <c r="AT130" i="4" s="1"/>
  <c r="AU130" i="4" s="1"/>
  <c r="AP85" i="4"/>
  <c r="AQ85" i="4" s="1"/>
  <c r="AR85" i="4" s="1"/>
  <c r="AS85" i="4" s="1"/>
  <c r="AT85" i="4" s="1"/>
  <c r="AV148" i="4"/>
  <c r="AU113" i="4"/>
  <c r="AQ45" i="4"/>
  <c r="AR45" i="4" s="1"/>
  <c r="AQ35" i="4"/>
  <c r="AQ160" i="4"/>
  <c r="AR160" i="4" s="1"/>
  <c r="AS160" i="4" s="1"/>
  <c r="AT160" i="4" s="1"/>
  <c r="AP90" i="4"/>
  <c r="AQ90" i="4" s="1"/>
  <c r="AR90" i="4" s="1"/>
  <c r="AS90" i="4" s="1"/>
  <c r="AT90" i="4" s="1"/>
  <c r="AQ154" i="4"/>
  <c r="AR154" i="4" s="1"/>
  <c r="AS154" i="4" s="1"/>
  <c r="AT154" i="4" s="1"/>
  <c r="AP105" i="4"/>
  <c r="AU105" i="4" s="1"/>
  <c r="AV105" i="4" s="1"/>
  <c r="AQ143" i="4"/>
  <c r="AR143" i="4" s="1"/>
  <c r="AS143" i="4" s="1"/>
  <c r="AT143" i="4" s="1"/>
  <c r="AO182" i="4"/>
  <c r="AP182" i="4" s="1"/>
  <c r="X176" i="4"/>
  <c r="X110" i="4"/>
  <c r="AC61" i="4"/>
  <c r="AC65" i="4"/>
  <c r="AC57" i="4"/>
  <c r="AC178" i="4"/>
  <c r="AB65" i="4"/>
  <c r="AB61" i="4"/>
  <c r="AB57" i="4"/>
  <c r="AB178" i="4"/>
  <c r="AC62" i="4"/>
  <c r="AO72" i="4"/>
  <c r="AP72" i="4" s="1"/>
  <c r="AL66" i="4"/>
  <c r="AO80" i="4"/>
  <c r="AE152" i="4"/>
  <c r="AJ152" i="4" s="1"/>
  <c r="AO73" i="4"/>
  <c r="AP73" i="4" s="1"/>
  <c r="AO76" i="4"/>
  <c r="AQ17" i="4"/>
  <c r="F83" i="3"/>
  <c r="P91" i="3"/>
  <c r="O90" i="3"/>
  <c r="N90" i="3"/>
  <c r="M90" i="3"/>
  <c r="L90" i="3"/>
  <c r="K90" i="3"/>
  <c r="J90" i="3"/>
  <c r="I90" i="3"/>
  <c r="H90" i="3"/>
  <c r="F90" i="3"/>
  <c r="E90" i="3"/>
  <c r="D90" i="3"/>
  <c r="AO178" i="4" l="1"/>
  <c r="AP178" i="4" s="1"/>
  <c r="AJ57" i="4"/>
  <c r="AO110" i="4"/>
  <c r="AP110" i="4" s="1"/>
  <c r="AJ110" i="4"/>
  <c r="AJ62" i="4"/>
  <c r="AL62" i="4" s="1"/>
  <c r="AJ178" i="4"/>
  <c r="AJ61" i="4"/>
  <c r="AL61" i="4" s="1"/>
  <c r="AJ65" i="4"/>
  <c r="AK65" i="4" s="1"/>
  <c r="AU143" i="4"/>
  <c r="AU31" i="4"/>
  <c r="AV31" i="4" s="1"/>
  <c r="AR35" i="4"/>
  <c r="AS35" i="4" s="1"/>
  <c r="AT35" i="4" s="1"/>
  <c r="AU85" i="4"/>
  <c r="AR17" i="4"/>
  <c r="AS17" i="4" s="1"/>
  <c r="AT17" i="4" s="1"/>
  <c r="AR9" i="4"/>
  <c r="AP76" i="4"/>
  <c r="AQ76" i="4" s="1"/>
  <c r="AR76" i="4" s="1"/>
  <c r="AS76" i="4" s="1"/>
  <c r="AT76" i="4" s="1"/>
  <c r="AU90" i="4"/>
  <c r="AP80" i="4"/>
  <c r="AQ80" i="4" s="1"/>
  <c r="AR80" i="4" s="1"/>
  <c r="AS80" i="4" s="1"/>
  <c r="AT80" i="4" s="1"/>
  <c r="AU160" i="4"/>
  <c r="AQ110" i="4"/>
  <c r="AR110" i="4" s="1"/>
  <c r="AS110" i="4" s="1"/>
  <c r="AT110" i="4" s="1"/>
  <c r="AU154" i="4"/>
  <c r="AQ25" i="4"/>
  <c r="X174" i="4"/>
  <c r="AQ13" i="4"/>
  <c r="AL75" i="4"/>
  <c r="AE130" i="4"/>
  <c r="AJ130" i="4" s="1"/>
  <c r="AL79" i="4"/>
  <c r="AK58" i="4"/>
  <c r="AL72" i="4"/>
  <c r="AK66" i="4"/>
  <c r="AC64" i="4"/>
  <c r="AC60" i="4"/>
  <c r="AC56" i="4"/>
  <c r="AC176" i="4"/>
  <c r="AC174" i="4" s="1"/>
  <c r="AC192" i="4" s="1"/>
  <c r="AB56" i="4"/>
  <c r="AB64" i="4"/>
  <c r="AB60" i="4"/>
  <c r="AB176" i="4"/>
  <c r="AL57" i="4"/>
  <c r="AO71" i="4"/>
  <c r="AP71" i="4" s="1"/>
  <c r="P90" i="3"/>
  <c r="E19" i="3"/>
  <c r="F19" i="3"/>
  <c r="H19" i="3"/>
  <c r="I19" i="3"/>
  <c r="J19" i="3"/>
  <c r="K19" i="3"/>
  <c r="L19" i="3"/>
  <c r="M19" i="3"/>
  <c r="N19" i="3"/>
  <c r="O19" i="3"/>
  <c r="F17" i="3"/>
  <c r="H17" i="3"/>
  <c r="I17" i="3"/>
  <c r="J17" i="3"/>
  <c r="K17" i="3"/>
  <c r="L17" i="3"/>
  <c r="M17" i="3"/>
  <c r="N17" i="3"/>
  <c r="O17" i="3"/>
  <c r="E17" i="3"/>
  <c r="P24" i="3"/>
  <c r="P26" i="3"/>
  <c r="AJ56" i="4" l="1"/>
  <c r="AK62" i="4"/>
  <c r="AL65" i="4"/>
  <c r="AJ176" i="4"/>
  <c r="X192" i="4"/>
  <c r="AJ60" i="4"/>
  <c r="AL60" i="4" s="1"/>
  <c r="AJ64" i="4"/>
  <c r="AK64" i="4" s="1"/>
  <c r="AU35" i="4"/>
  <c r="AK61" i="4"/>
  <c r="AU17" i="4"/>
  <c r="AR13" i="4"/>
  <c r="AS13" i="4" s="1"/>
  <c r="AT13" i="4" s="1"/>
  <c r="AU13" i="4" s="1"/>
  <c r="AR25" i="4"/>
  <c r="AS25" i="4" s="1"/>
  <c r="AT25" i="4" s="1"/>
  <c r="AO176" i="4"/>
  <c r="AP176" i="4" s="1"/>
  <c r="AQ192" i="4"/>
  <c r="AU80" i="4"/>
  <c r="AS9" i="4"/>
  <c r="AU110" i="4"/>
  <c r="AC196" i="4"/>
  <c r="AU76" i="4"/>
  <c r="AL74" i="4"/>
  <c r="AB174" i="4"/>
  <c r="AJ174" i="4" s="1"/>
  <c r="AK57" i="4"/>
  <c r="AL71" i="4"/>
  <c r="AL78" i="4"/>
  <c r="AO70" i="4"/>
  <c r="AP70" i="4" s="1"/>
  <c r="AL56" i="4"/>
  <c r="AE126" i="4"/>
  <c r="AJ126" i="4" s="1"/>
  <c r="D98" i="3"/>
  <c r="D97" i="3" s="1"/>
  <c r="P85" i="3"/>
  <c r="O84" i="3"/>
  <c r="N84" i="3"/>
  <c r="M84" i="3"/>
  <c r="L84" i="3"/>
  <c r="L83" i="3" s="1"/>
  <c r="K84" i="3"/>
  <c r="K83" i="3" s="1"/>
  <c r="J84" i="3"/>
  <c r="I84" i="3"/>
  <c r="H84" i="3"/>
  <c r="F84" i="3"/>
  <c r="E84" i="3"/>
  <c r="D84" i="3"/>
  <c r="AB192" i="4" l="1"/>
  <c r="AB196" i="4" s="1"/>
  <c r="AU25" i="4"/>
  <c r="AV25" i="4" s="1"/>
  <c r="AK60" i="4"/>
  <c r="AT9" i="4"/>
  <c r="AU9" i="4" s="1"/>
  <c r="AO174" i="4"/>
  <c r="AP174" i="4" s="1"/>
  <c r="AP192" i="4" s="1"/>
  <c r="AK56" i="4"/>
  <c r="AL70" i="4"/>
  <c r="P84" i="3"/>
  <c r="C4" i="2"/>
  <c r="D23" i="1"/>
  <c r="E23" i="1"/>
  <c r="F23" i="1"/>
  <c r="G23" i="1"/>
  <c r="H23" i="1"/>
  <c r="I23" i="1"/>
  <c r="C20" i="2" s="1"/>
  <c r="J23" i="1"/>
  <c r="K23" i="1"/>
  <c r="L23" i="1"/>
  <c r="M23" i="1"/>
  <c r="N23" i="1"/>
  <c r="C23" i="1"/>
  <c r="C19" i="1"/>
  <c r="D13" i="1"/>
  <c r="E13" i="1"/>
  <c r="F13" i="1"/>
  <c r="G13" i="1"/>
  <c r="H13" i="1"/>
  <c r="I13" i="1"/>
  <c r="C10" i="2" s="1"/>
  <c r="J13" i="1"/>
  <c r="K13" i="1"/>
  <c r="L13" i="1"/>
  <c r="M13" i="1"/>
  <c r="N13" i="1"/>
  <c r="C13" i="1"/>
  <c r="O44" i="1"/>
  <c r="O43" i="1" s="1"/>
  <c r="E37" i="1"/>
  <c r="F37" i="1"/>
  <c r="G37" i="1"/>
  <c r="I37" i="1"/>
  <c r="C34" i="2" s="1"/>
  <c r="J37" i="1"/>
  <c r="K37" i="1"/>
  <c r="M37" i="1"/>
  <c r="N37" i="1"/>
  <c r="C37" i="1"/>
  <c r="D36" i="1"/>
  <c r="E36" i="1"/>
  <c r="F36" i="1"/>
  <c r="G36" i="1"/>
  <c r="H36" i="1"/>
  <c r="I36" i="1"/>
  <c r="C33" i="2" s="1"/>
  <c r="J36" i="1"/>
  <c r="K36" i="1"/>
  <c r="L36" i="1"/>
  <c r="M36" i="1"/>
  <c r="N36" i="1"/>
  <c r="C36" i="1"/>
  <c r="D31" i="1"/>
  <c r="E31" i="1"/>
  <c r="F31" i="1"/>
  <c r="G31" i="1"/>
  <c r="H31" i="1"/>
  <c r="I31" i="1"/>
  <c r="C28" i="2" s="1"/>
  <c r="J31" i="1"/>
  <c r="K31" i="1"/>
  <c r="L31" i="1"/>
  <c r="M31" i="1"/>
  <c r="N31" i="1"/>
  <c r="C31" i="1"/>
  <c r="C32" i="2" l="1"/>
  <c r="AE85" i="4"/>
  <c r="AJ85" i="4" s="1"/>
  <c r="O31" i="1"/>
  <c r="O36" i="1"/>
  <c r="O13" i="1"/>
  <c r="O23" i="1"/>
  <c r="P188" i="4"/>
  <c r="O188" i="4"/>
  <c r="N188" i="4"/>
  <c r="M188" i="4"/>
  <c r="L188" i="4"/>
  <c r="K188" i="4"/>
  <c r="J188" i="4"/>
  <c r="I188" i="4"/>
  <c r="H188" i="4"/>
  <c r="G188" i="4"/>
  <c r="F188" i="4"/>
  <c r="E188" i="4"/>
  <c r="P182" i="4"/>
  <c r="N40" i="1" s="1"/>
  <c r="E182" i="4"/>
  <c r="E178" i="4" s="1"/>
  <c r="E176" i="4" s="1"/>
  <c r="E174" i="4" s="1"/>
  <c r="N166" i="4"/>
  <c r="L37" i="1" s="1"/>
  <c r="L35" i="1" s="1"/>
  <c r="J166" i="4"/>
  <c r="H37" i="1" s="1"/>
  <c r="F166" i="4"/>
  <c r="D37" i="1" s="1"/>
  <c r="D35" i="1" s="1"/>
  <c r="P162" i="4"/>
  <c r="O162" i="4"/>
  <c r="N162" i="4"/>
  <c r="M162" i="4"/>
  <c r="L162" i="4"/>
  <c r="K162" i="4"/>
  <c r="J162" i="4"/>
  <c r="I162" i="4"/>
  <c r="H162" i="4"/>
  <c r="G162" i="4"/>
  <c r="F162" i="4"/>
  <c r="E162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L155" i="4"/>
  <c r="P154" i="4"/>
  <c r="P152" i="4" s="1"/>
  <c r="P130" i="4" s="1"/>
  <c r="O154" i="4"/>
  <c r="N154" i="4"/>
  <c r="N152" i="4" s="1"/>
  <c r="N130" i="4" s="1"/>
  <c r="M154" i="4"/>
  <c r="M152" i="4" s="1"/>
  <c r="M130" i="4" s="1"/>
  <c r="K154" i="4"/>
  <c r="J154" i="4"/>
  <c r="I154" i="4"/>
  <c r="H154" i="4"/>
  <c r="H152" i="4" s="1"/>
  <c r="H130" i="4" s="1"/>
  <c r="G154" i="4"/>
  <c r="F154" i="4"/>
  <c r="E154" i="4"/>
  <c r="O152" i="4"/>
  <c r="K152" i="4"/>
  <c r="J152" i="4"/>
  <c r="I152" i="4"/>
  <c r="G152" i="4"/>
  <c r="G130" i="4" s="1"/>
  <c r="F152" i="4"/>
  <c r="E152" i="4"/>
  <c r="P143" i="4"/>
  <c r="O143" i="4"/>
  <c r="N143" i="4"/>
  <c r="M143" i="4"/>
  <c r="L143" i="4"/>
  <c r="K143" i="4"/>
  <c r="J143" i="4"/>
  <c r="I143" i="4"/>
  <c r="H143" i="4"/>
  <c r="F33" i="1" s="1"/>
  <c r="G143" i="4"/>
  <c r="E33" i="1" s="1"/>
  <c r="F143" i="4"/>
  <c r="E143" i="4"/>
  <c r="O141" i="4"/>
  <c r="I141" i="4"/>
  <c r="F140" i="4"/>
  <c r="Q140" i="4" s="1"/>
  <c r="P139" i="4"/>
  <c r="N32" i="1" s="1"/>
  <c r="O139" i="4"/>
  <c r="N139" i="4"/>
  <c r="L32" i="1" s="1"/>
  <c r="M139" i="4"/>
  <c r="K32" i="1" s="1"/>
  <c r="L139" i="4"/>
  <c r="J32" i="1" s="1"/>
  <c r="K139" i="4"/>
  <c r="I32" i="1" s="1"/>
  <c r="C29" i="2" s="1"/>
  <c r="J139" i="4"/>
  <c r="H32" i="1" s="1"/>
  <c r="I139" i="4"/>
  <c r="H139" i="4"/>
  <c r="F32" i="1" s="1"/>
  <c r="G139" i="4"/>
  <c r="E32" i="1" s="1"/>
  <c r="E139" i="4"/>
  <c r="P134" i="4"/>
  <c r="N30" i="1" s="1"/>
  <c r="O134" i="4"/>
  <c r="M30" i="1" s="1"/>
  <c r="N134" i="4"/>
  <c r="L30" i="1" s="1"/>
  <c r="M134" i="4"/>
  <c r="K30" i="1" s="1"/>
  <c r="L134" i="4"/>
  <c r="J30" i="1" s="1"/>
  <c r="K134" i="4"/>
  <c r="I30" i="1" s="1"/>
  <c r="C27" i="2" s="1"/>
  <c r="J134" i="4"/>
  <c r="H30" i="1" s="1"/>
  <c r="I134" i="4"/>
  <c r="G30" i="1" s="1"/>
  <c r="H134" i="4"/>
  <c r="F30" i="1" s="1"/>
  <c r="G134" i="4"/>
  <c r="E30" i="1" s="1"/>
  <c r="F134" i="4"/>
  <c r="D30" i="1" s="1"/>
  <c r="E134" i="4"/>
  <c r="O130" i="4"/>
  <c r="K130" i="4"/>
  <c r="J130" i="4"/>
  <c r="H29" i="1" s="1"/>
  <c r="I130" i="4"/>
  <c r="F130" i="4"/>
  <c r="E130" i="4"/>
  <c r="O126" i="4"/>
  <c r="K126" i="4"/>
  <c r="I126" i="4"/>
  <c r="F126" i="4"/>
  <c r="E126" i="4"/>
  <c r="E110" i="4" s="1"/>
  <c r="E85" i="4" s="1"/>
  <c r="E45" i="4" s="1"/>
  <c r="P124" i="4"/>
  <c r="O124" i="4"/>
  <c r="N124" i="4"/>
  <c r="M124" i="4"/>
  <c r="L124" i="4"/>
  <c r="K124" i="4"/>
  <c r="J124" i="4"/>
  <c r="I124" i="4"/>
  <c r="H124" i="4"/>
  <c r="G124" i="4"/>
  <c r="F124" i="4"/>
  <c r="E124" i="4"/>
  <c r="P122" i="4"/>
  <c r="O122" i="4"/>
  <c r="N122" i="4"/>
  <c r="M122" i="4"/>
  <c r="L122" i="4"/>
  <c r="K122" i="4"/>
  <c r="J122" i="4"/>
  <c r="I122" i="4"/>
  <c r="H122" i="4"/>
  <c r="G122" i="4"/>
  <c r="F122" i="4"/>
  <c r="O121" i="4"/>
  <c r="F121" i="4"/>
  <c r="O120" i="4"/>
  <c r="L120" i="4"/>
  <c r="L119" i="4" s="1"/>
  <c r="I120" i="4"/>
  <c r="I119" i="4" s="1"/>
  <c r="F120" i="4"/>
  <c r="P119" i="4"/>
  <c r="N119" i="4"/>
  <c r="M119" i="4"/>
  <c r="K119" i="4"/>
  <c r="J119" i="4"/>
  <c r="H119" i="4"/>
  <c r="G119" i="4"/>
  <c r="E119" i="4"/>
  <c r="P116" i="4"/>
  <c r="N25" i="1" s="1"/>
  <c r="O116" i="4"/>
  <c r="M25" i="1" s="1"/>
  <c r="N116" i="4"/>
  <c r="L25" i="1" s="1"/>
  <c r="M116" i="4"/>
  <c r="K25" i="1" s="1"/>
  <c r="L116" i="4"/>
  <c r="J25" i="1" s="1"/>
  <c r="K116" i="4"/>
  <c r="I25" i="1" s="1"/>
  <c r="C22" i="2" s="1"/>
  <c r="J116" i="4"/>
  <c r="H25" i="1" s="1"/>
  <c r="I116" i="4"/>
  <c r="G25" i="1" s="1"/>
  <c r="H116" i="4"/>
  <c r="F25" i="1" s="1"/>
  <c r="G116" i="4"/>
  <c r="E25" i="1" s="1"/>
  <c r="F116" i="4"/>
  <c r="D25" i="1" s="1"/>
  <c r="E116" i="4"/>
  <c r="O115" i="4"/>
  <c r="O113" i="4" s="1"/>
  <c r="L115" i="4"/>
  <c r="F115" i="4"/>
  <c r="P113" i="4"/>
  <c r="N113" i="4"/>
  <c r="M113" i="4"/>
  <c r="K113" i="4"/>
  <c r="J113" i="4"/>
  <c r="I113" i="4"/>
  <c r="H113" i="4"/>
  <c r="G113" i="4"/>
  <c r="E113" i="4"/>
  <c r="I111" i="4"/>
  <c r="Q111" i="4" s="1"/>
  <c r="O110" i="4"/>
  <c r="K110" i="4"/>
  <c r="F110" i="4"/>
  <c r="F107" i="4"/>
  <c r="Q107" i="4" s="1"/>
  <c r="P106" i="4"/>
  <c r="O106" i="4"/>
  <c r="N106" i="4"/>
  <c r="M106" i="4"/>
  <c r="L106" i="4"/>
  <c r="K106" i="4"/>
  <c r="J106" i="4"/>
  <c r="I106" i="4"/>
  <c r="H106" i="4"/>
  <c r="G106" i="4"/>
  <c r="E106" i="4"/>
  <c r="P94" i="4"/>
  <c r="O94" i="4"/>
  <c r="M22" i="1" s="1"/>
  <c r="N94" i="4"/>
  <c r="M94" i="4"/>
  <c r="L94" i="4"/>
  <c r="J22" i="1" s="1"/>
  <c r="K94" i="4"/>
  <c r="J94" i="4"/>
  <c r="I94" i="4"/>
  <c r="H94" i="4"/>
  <c r="G94" i="4"/>
  <c r="F94" i="4"/>
  <c r="E94" i="4"/>
  <c r="H91" i="4"/>
  <c r="P90" i="4"/>
  <c r="N21" i="1" s="1"/>
  <c r="O90" i="4"/>
  <c r="N90" i="4"/>
  <c r="M90" i="4"/>
  <c r="K21" i="1" s="1"/>
  <c r="L90" i="4"/>
  <c r="J21" i="1" s="1"/>
  <c r="K90" i="4"/>
  <c r="I21" i="1" s="1"/>
  <c r="C18" i="2" s="1"/>
  <c r="J90" i="4"/>
  <c r="I90" i="4"/>
  <c r="G21" i="1" s="1"/>
  <c r="G90" i="4"/>
  <c r="F90" i="4"/>
  <c r="E90" i="4"/>
  <c r="F86" i="4"/>
  <c r="Q86" i="4" s="1"/>
  <c r="O85" i="4"/>
  <c r="M20" i="1" s="1"/>
  <c r="K85" i="4"/>
  <c r="I20" i="1" s="1"/>
  <c r="C17" i="2" s="1"/>
  <c r="P80" i="4"/>
  <c r="N19" i="1" s="1"/>
  <c r="O80" i="4"/>
  <c r="M19" i="1" s="1"/>
  <c r="N80" i="4"/>
  <c r="L19" i="1" s="1"/>
  <c r="M80" i="4"/>
  <c r="K19" i="1" s="1"/>
  <c r="L80" i="4"/>
  <c r="K80" i="4"/>
  <c r="I19" i="1" s="1"/>
  <c r="C16" i="2" s="1"/>
  <c r="J80" i="4"/>
  <c r="H19" i="1" s="1"/>
  <c r="I80" i="4"/>
  <c r="G19" i="1" s="1"/>
  <c r="H80" i="4"/>
  <c r="F19" i="1" s="1"/>
  <c r="G80" i="4"/>
  <c r="E19" i="1" s="1"/>
  <c r="F80" i="4"/>
  <c r="F77" i="4"/>
  <c r="Q77" i="4" s="1"/>
  <c r="P76" i="4"/>
  <c r="O76" i="4"/>
  <c r="N76" i="4"/>
  <c r="M76" i="4"/>
  <c r="L76" i="4"/>
  <c r="K76" i="4"/>
  <c r="J76" i="4"/>
  <c r="I76" i="4"/>
  <c r="H76" i="4"/>
  <c r="G76" i="4"/>
  <c r="E76" i="4"/>
  <c r="P73" i="4"/>
  <c r="O73" i="4"/>
  <c r="N73" i="4"/>
  <c r="M73" i="4"/>
  <c r="L73" i="4"/>
  <c r="K73" i="4"/>
  <c r="J73" i="4"/>
  <c r="I73" i="4"/>
  <c r="H73" i="4"/>
  <c r="G73" i="4"/>
  <c r="F73" i="4"/>
  <c r="E73" i="4"/>
  <c r="P66" i="4"/>
  <c r="O66" i="4"/>
  <c r="N66" i="4"/>
  <c r="M66" i="4"/>
  <c r="L66" i="4"/>
  <c r="K66" i="4"/>
  <c r="J66" i="4"/>
  <c r="I66" i="4"/>
  <c r="H66" i="4"/>
  <c r="G66" i="4"/>
  <c r="F66" i="4"/>
  <c r="E66" i="4"/>
  <c r="P65" i="4"/>
  <c r="O65" i="4"/>
  <c r="N65" i="4"/>
  <c r="M65" i="4"/>
  <c r="L65" i="4"/>
  <c r="K65" i="4"/>
  <c r="J65" i="4"/>
  <c r="I65" i="4"/>
  <c r="H65" i="4"/>
  <c r="G65" i="4"/>
  <c r="F65" i="4"/>
  <c r="E65" i="4"/>
  <c r="P64" i="4"/>
  <c r="O64" i="4"/>
  <c r="N64" i="4"/>
  <c r="M64" i="4"/>
  <c r="L64" i="4"/>
  <c r="K64" i="4"/>
  <c r="J64" i="4"/>
  <c r="I64" i="4"/>
  <c r="H64" i="4"/>
  <c r="G64" i="4"/>
  <c r="F64" i="4"/>
  <c r="E64" i="4"/>
  <c r="P62" i="4"/>
  <c r="O62" i="4"/>
  <c r="N62" i="4"/>
  <c r="M62" i="4"/>
  <c r="L62" i="4"/>
  <c r="K62" i="4"/>
  <c r="J62" i="4"/>
  <c r="I62" i="4"/>
  <c r="H62" i="4"/>
  <c r="G62" i="4"/>
  <c r="F62" i="4"/>
  <c r="E62" i="4"/>
  <c r="P61" i="4"/>
  <c r="O61" i="4"/>
  <c r="N61" i="4"/>
  <c r="M61" i="4"/>
  <c r="L61" i="4"/>
  <c r="K61" i="4"/>
  <c r="J61" i="4"/>
  <c r="I61" i="4"/>
  <c r="H61" i="4"/>
  <c r="G61" i="4"/>
  <c r="F61" i="4"/>
  <c r="E61" i="4"/>
  <c r="P60" i="4"/>
  <c r="O60" i="4"/>
  <c r="N60" i="4"/>
  <c r="M60" i="4"/>
  <c r="L60" i="4"/>
  <c r="K60" i="4"/>
  <c r="J60" i="4"/>
  <c r="I60" i="4"/>
  <c r="H60" i="4"/>
  <c r="G60" i="4"/>
  <c r="F60" i="4"/>
  <c r="E60" i="4"/>
  <c r="P58" i="4"/>
  <c r="O58" i="4"/>
  <c r="N58" i="4"/>
  <c r="M58" i="4"/>
  <c r="L58" i="4"/>
  <c r="K58" i="4"/>
  <c r="J58" i="4"/>
  <c r="I58" i="4"/>
  <c r="H58" i="4"/>
  <c r="G58" i="4"/>
  <c r="F58" i="4"/>
  <c r="E58" i="4"/>
  <c r="P56" i="4"/>
  <c r="O56" i="4"/>
  <c r="N56" i="4"/>
  <c r="M56" i="4"/>
  <c r="L56" i="4"/>
  <c r="K56" i="4"/>
  <c r="J56" i="4"/>
  <c r="I56" i="4"/>
  <c r="H56" i="4"/>
  <c r="G56" i="4"/>
  <c r="F56" i="4"/>
  <c r="E56" i="4"/>
  <c r="P49" i="4"/>
  <c r="O49" i="4"/>
  <c r="N49" i="4"/>
  <c r="M49" i="4"/>
  <c r="L49" i="4"/>
  <c r="K49" i="4"/>
  <c r="J49" i="4"/>
  <c r="I49" i="4"/>
  <c r="H49" i="4"/>
  <c r="G49" i="4"/>
  <c r="F49" i="4"/>
  <c r="E49" i="4"/>
  <c r="P37" i="4"/>
  <c r="N14" i="1" s="1"/>
  <c r="O37" i="4"/>
  <c r="M14" i="1" s="1"/>
  <c r="N37" i="4"/>
  <c r="L14" i="1" s="1"/>
  <c r="M37" i="4"/>
  <c r="K14" i="1" s="1"/>
  <c r="L37" i="4"/>
  <c r="J14" i="1" s="1"/>
  <c r="K37" i="4"/>
  <c r="I14" i="1" s="1"/>
  <c r="C11" i="2" s="1"/>
  <c r="J37" i="4"/>
  <c r="H14" i="1" s="1"/>
  <c r="I37" i="4"/>
  <c r="G14" i="1" s="1"/>
  <c r="H37" i="4"/>
  <c r="F14" i="1" s="1"/>
  <c r="G37" i="4"/>
  <c r="E14" i="1" s="1"/>
  <c r="F37" i="4"/>
  <c r="D14" i="1" s="1"/>
  <c r="E37" i="4"/>
  <c r="C14" i="1" s="1"/>
  <c r="H35" i="4"/>
  <c r="G35" i="4"/>
  <c r="F35" i="4"/>
  <c r="E35" i="4"/>
  <c r="P33" i="4"/>
  <c r="O33" i="4"/>
  <c r="N33" i="4"/>
  <c r="M33" i="4"/>
  <c r="L33" i="4"/>
  <c r="K33" i="4"/>
  <c r="J33" i="4"/>
  <c r="I33" i="4"/>
  <c r="H33" i="4"/>
  <c r="G33" i="4"/>
  <c r="F33" i="4"/>
  <c r="E33" i="4"/>
  <c r="F18" i="4"/>
  <c r="Q18" i="4" s="1"/>
  <c r="P17" i="4"/>
  <c r="O17" i="4"/>
  <c r="N17" i="4"/>
  <c r="M17" i="4"/>
  <c r="L17" i="4"/>
  <c r="K17" i="4"/>
  <c r="J17" i="4"/>
  <c r="I17" i="4"/>
  <c r="H17" i="4"/>
  <c r="G17" i="4"/>
  <c r="E17" i="4"/>
  <c r="P16" i="4"/>
  <c r="O16" i="4"/>
  <c r="N16" i="4"/>
  <c r="M16" i="4"/>
  <c r="L16" i="4"/>
  <c r="K16" i="4"/>
  <c r="J16" i="4"/>
  <c r="I16" i="4"/>
  <c r="H16" i="4"/>
  <c r="G16" i="4"/>
  <c r="F16" i="4"/>
  <c r="E16" i="4"/>
  <c r="P15" i="4"/>
  <c r="O15" i="4"/>
  <c r="N15" i="4"/>
  <c r="M15" i="4"/>
  <c r="L15" i="4"/>
  <c r="K15" i="4"/>
  <c r="J15" i="4"/>
  <c r="I15" i="4"/>
  <c r="H15" i="4"/>
  <c r="G15" i="4"/>
  <c r="F15" i="4"/>
  <c r="E15" i="4"/>
  <c r="P14" i="4"/>
  <c r="O14" i="4"/>
  <c r="N14" i="4"/>
  <c r="M14" i="4"/>
  <c r="L14" i="4"/>
  <c r="K14" i="4"/>
  <c r="J14" i="4"/>
  <c r="I14" i="4"/>
  <c r="H14" i="4"/>
  <c r="G14" i="4"/>
  <c r="F14" i="4"/>
  <c r="E14" i="4"/>
  <c r="P9" i="4"/>
  <c r="O9" i="4"/>
  <c r="O182" i="4" s="1"/>
  <c r="N9" i="4"/>
  <c r="N182" i="4" s="1"/>
  <c r="M9" i="4"/>
  <c r="M182" i="4" s="1"/>
  <c r="L9" i="4"/>
  <c r="L182" i="4" s="1"/>
  <c r="K9" i="4"/>
  <c r="K182" i="4" s="1"/>
  <c r="J9" i="4"/>
  <c r="J182" i="4" s="1"/>
  <c r="I9" i="4"/>
  <c r="I182" i="4" s="1"/>
  <c r="H9" i="4"/>
  <c r="H182" i="4" s="1"/>
  <c r="G9" i="4"/>
  <c r="G182" i="4" s="1"/>
  <c r="F9" i="4"/>
  <c r="F182" i="4" s="1"/>
  <c r="E9" i="4"/>
  <c r="E35" i="1"/>
  <c r="F35" i="1"/>
  <c r="G35" i="1"/>
  <c r="H35" i="1"/>
  <c r="I35" i="1"/>
  <c r="J35" i="1"/>
  <c r="K35" i="1"/>
  <c r="M35" i="1"/>
  <c r="N35" i="1"/>
  <c r="C35" i="1"/>
  <c r="O14" i="1" l="1"/>
  <c r="L40" i="1"/>
  <c r="N178" i="4"/>
  <c r="N176" i="4" s="1"/>
  <c r="N174" i="4" s="1"/>
  <c r="F29" i="1"/>
  <c r="H126" i="4"/>
  <c r="H110" i="4" s="1"/>
  <c r="H85" i="4" s="1"/>
  <c r="I40" i="1"/>
  <c r="C37" i="2" s="1"/>
  <c r="K178" i="4"/>
  <c r="K176" i="4" s="1"/>
  <c r="K174" i="4" s="1"/>
  <c r="I39" i="1" s="1"/>
  <c r="C36" i="2" s="1"/>
  <c r="M40" i="1"/>
  <c r="O178" i="4"/>
  <c r="O176" i="4" s="1"/>
  <c r="O174" i="4" s="1"/>
  <c r="M39" i="1" s="1"/>
  <c r="D40" i="1"/>
  <c r="F178" i="4"/>
  <c r="F176" i="4" s="1"/>
  <c r="F174" i="4" s="1"/>
  <c r="J40" i="1"/>
  <c r="L178" i="4"/>
  <c r="L176" i="4" s="1"/>
  <c r="L174" i="4" s="1"/>
  <c r="J39" i="1" s="1"/>
  <c r="E29" i="1"/>
  <c r="G126" i="4"/>
  <c r="G110" i="4" s="1"/>
  <c r="G85" i="4" s="1"/>
  <c r="K29" i="1"/>
  <c r="M126" i="4"/>
  <c r="M110" i="4" s="1"/>
  <c r="M85" i="4" s="1"/>
  <c r="K40" i="1"/>
  <c r="M178" i="4"/>
  <c r="M176" i="4" s="1"/>
  <c r="M174" i="4" s="1"/>
  <c r="K39" i="1" s="1"/>
  <c r="L29" i="1"/>
  <c r="N126" i="4"/>
  <c r="N110" i="4" s="1"/>
  <c r="N85" i="4" s="1"/>
  <c r="E40" i="1"/>
  <c r="G178" i="4"/>
  <c r="G176" i="4" s="1"/>
  <c r="G174" i="4" s="1"/>
  <c r="E39" i="1" s="1"/>
  <c r="F40" i="1"/>
  <c r="H178" i="4"/>
  <c r="H176" i="4" s="1"/>
  <c r="H174" i="4" s="1"/>
  <c r="F39" i="1" s="1"/>
  <c r="G40" i="1"/>
  <c r="I178" i="4"/>
  <c r="I176" i="4" s="1"/>
  <c r="I174" i="4" s="1"/>
  <c r="H40" i="1"/>
  <c r="J178" i="4"/>
  <c r="J176" i="4" s="1"/>
  <c r="J174" i="4" s="1"/>
  <c r="N29" i="1"/>
  <c r="P126" i="4"/>
  <c r="P110" i="4" s="1"/>
  <c r="P85" i="4" s="1"/>
  <c r="I29" i="1"/>
  <c r="C26" i="2" s="1"/>
  <c r="G33" i="1"/>
  <c r="L21" i="1"/>
  <c r="K22" i="1"/>
  <c r="H33" i="1"/>
  <c r="M21" i="1"/>
  <c r="L22" i="1"/>
  <c r="I33" i="1"/>
  <c r="C30" i="2" s="1"/>
  <c r="J33" i="1"/>
  <c r="O37" i="1"/>
  <c r="N22" i="1"/>
  <c r="K33" i="1"/>
  <c r="H22" i="1"/>
  <c r="I22" i="1"/>
  <c r="C19" i="2" s="1"/>
  <c r="K45" i="4"/>
  <c r="I12" i="1" s="1"/>
  <c r="C9" i="2" s="1"/>
  <c r="O45" i="4"/>
  <c r="M12" i="1" s="1"/>
  <c r="L33" i="1"/>
  <c r="D22" i="1"/>
  <c r="M33" i="1"/>
  <c r="P178" i="4"/>
  <c r="P176" i="4" s="1"/>
  <c r="P174" i="4" s="1"/>
  <c r="J126" i="4"/>
  <c r="J110" i="4" s="1"/>
  <c r="J85" i="4" s="1"/>
  <c r="E21" i="1"/>
  <c r="E22" i="1"/>
  <c r="N33" i="1"/>
  <c r="AE45" i="4"/>
  <c r="AJ45" i="4" s="1"/>
  <c r="G29" i="1"/>
  <c r="F22" i="1"/>
  <c r="H21" i="1"/>
  <c r="G22" i="1"/>
  <c r="D33" i="1"/>
  <c r="Q9" i="4"/>
  <c r="Q166" i="4"/>
  <c r="Q37" i="4"/>
  <c r="U37" i="4" s="1"/>
  <c r="Q49" i="4"/>
  <c r="Q56" i="4"/>
  <c r="Q58" i="4"/>
  <c r="Q60" i="4"/>
  <c r="Q61" i="4"/>
  <c r="Q62" i="4"/>
  <c r="Q64" i="4"/>
  <c r="Q65" i="4"/>
  <c r="Q73" i="4"/>
  <c r="U73" i="4" s="1"/>
  <c r="Q124" i="4"/>
  <c r="U124" i="4" s="1"/>
  <c r="Q134" i="4"/>
  <c r="Q141" i="4"/>
  <c r="O13" i="4"/>
  <c r="M11" i="1" s="1"/>
  <c r="G63" i="4"/>
  <c r="Q66" i="4"/>
  <c r="D19" i="1"/>
  <c r="Q80" i="4"/>
  <c r="Q122" i="4"/>
  <c r="L154" i="4"/>
  <c r="Q155" i="4"/>
  <c r="Q143" i="4"/>
  <c r="U143" i="4" s="1"/>
  <c r="Q160" i="4"/>
  <c r="Q162" i="4"/>
  <c r="Q182" i="4"/>
  <c r="Q188" i="4"/>
  <c r="U188" i="4" s="1"/>
  <c r="Q120" i="4"/>
  <c r="Q33" i="4"/>
  <c r="Q35" i="4"/>
  <c r="F113" i="4"/>
  <c r="Q115" i="4"/>
  <c r="Q15" i="4"/>
  <c r="U15" i="4" s="1"/>
  <c r="Q16" i="4"/>
  <c r="U16" i="4" s="1"/>
  <c r="H90" i="4"/>
  <c r="F21" i="1" s="1"/>
  <c r="Q91" i="4"/>
  <c r="Q14" i="4"/>
  <c r="U14" i="4" s="1"/>
  <c r="Q94" i="4"/>
  <c r="U94" i="4" s="1"/>
  <c r="P22" i="1" s="1"/>
  <c r="Q116" i="4"/>
  <c r="Q121" i="4"/>
  <c r="H27" i="1"/>
  <c r="F27" i="1"/>
  <c r="D28" i="1"/>
  <c r="K13" i="4"/>
  <c r="I11" i="1" s="1"/>
  <c r="C8" i="2" s="1"/>
  <c r="L13" i="4"/>
  <c r="O59" i="4"/>
  <c r="M18" i="1" s="1"/>
  <c r="K59" i="4"/>
  <c r="I18" i="1" s="1"/>
  <c r="C15" i="2" s="1"/>
  <c r="K27" i="1"/>
  <c r="N27" i="1"/>
  <c r="E55" i="4"/>
  <c r="C17" i="1" s="1"/>
  <c r="N55" i="4"/>
  <c r="L17" i="1" s="1"/>
  <c r="M34" i="1"/>
  <c r="M13" i="4"/>
  <c r="K11" i="1" s="1"/>
  <c r="F28" i="1"/>
  <c r="H63" i="4"/>
  <c r="E27" i="2"/>
  <c r="J59" i="4"/>
  <c r="H18" i="1" s="1"/>
  <c r="P13" i="4"/>
  <c r="N11" i="1" s="1"/>
  <c r="J55" i="4"/>
  <c r="H17" i="1" s="1"/>
  <c r="G34" i="1"/>
  <c r="K63" i="4"/>
  <c r="L27" i="1"/>
  <c r="K34" i="1"/>
  <c r="F106" i="4"/>
  <c r="F55" i="4"/>
  <c r="D17" i="1" s="1"/>
  <c r="G55" i="4"/>
  <c r="E17" i="1" s="1"/>
  <c r="L18" i="1"/>
  <c r="H28" i="1"/>
  <c r="F59" i="4"/>
  <c r="F85" i="4"/>
  <c r="L59" i="4"/>
  <c r="L55" i="4"/>
  <c r="J17" i="1" s="1"/>
  <c r="K55" i="4"/>
  <c r="I17" i="1" s="1"/>
  <c r="C14" i="2" s="1"/>
  <c r="P63" i="4"/>
  <c r="E63" i="4"/>
  <c r="F63" i="4"/>
  <c r="J18" i="1"/>
  <c r="G32" i="1"/>
  <c r="I34" i="1"/>
  <c r="C31" i="2" s="1"/>
  <c r="G39" i="1"/>
  <c r="G13" i="4"/>
  <c r="E11" i="1" s="1"/>
  <c r="J13" i="4"/>
  <c r="H11" i="1" s="1"/>
  <c r="I59" i="4"/>
  <c r="P55" i="4"/>
  <c r="N17" i="1" s="1"/>
  <c r="H24" i="1"/>
  <c r="G27" i="1"/>
  <c r="J27" i="1"/>
  <c r="M32" i="1"/>
  <c r="F18" i="1"/>
  <c r="F76" i="4"/>
  <c r="I110" i="4"/>
  <c r="O119" i="4"/>
  <c r="M27" i="1" s="1"/>
  <c r="G18" i="1"/>
  <c r="E34" i="1"/>
  <c r="U9" i="4"/>
  <c r="I13" i="4"/>
  <c r="J19" i="1"/>
  <c r="N59" i="4"/>
  <c r="H59" i="4"/>
  <c r="P59" i="4"/>
  <c r="N18" i="1" s="1"/>
  <c r="C22" i="1"/>
  <c r="C25" i="1"/>
  <c r="O25" i="1" s="1"/>
  <c r="C27" i="1"/>
  <c r="C30" i="1"/>
  <c r="O30" i="1" s="1"/>
  <c r="C32" i="1"/>
  <c r="C33" i="1"/>
  <c r="C34" i="1"/>
  <c r="C39" i="1"/>
  <c r="C42" i="1"/>
  <c r="E42" i="1"/>
  <c r="G42" i="1"/>
  <c r="I42" i="1"/>
  <c r="C38" i="2" s="1"/>
  <c r="K42" i="1"/>
  <c r="M42" i="1"/>
  <c r="O35" i="1"/>
  <c r="F13" i="4"/>
  <c r="N13" i="4"/>
  <c r="L11" i="1" s="1"/>
  <c r="H13" i="4"/>
  <c r="F11" i="1" s="1"/>
  <c r="F17" i="4"/>
  <c r="Q17" i="4" s="1"/>
  <c r="U17" i="4" s="1"/>
  <c r="C12" i="1"/>
  <c r="I55" i="4"/>
  <c r="G17" i="1" s="1"/>
  <c r="M55" i="4"/>
  <c r="K17" i="1" s="1"/>
  <c r="O55" i="4"/>
  <c r="M17" i="1" s="1"/>
  <c r="H55" i="4"/>
  <c r="F17" i="1" s="1"/>
  <c r="M59" i="4"/>
  <c r="K18" i="1" s="1"/>
  <c r="G59" i="4"/>
  <c r="E18" i="1" s="1"/>
  <c r="J63" i="4"/>
  <c r="L63" i="4"/>
  <c r="N63" i="4"/>
  <c r="I63" i="4"/>
  <c r="M63" i="4"/>
  <c r="O63" i="4"/>
  <c r="C20" i="1"/>
  <c r="C21" i="1"/>
  <c r="C24" i="1"/>
  <c r="E24" i="1"/>
  <c r="I24" i="1"/>
  <c r="C21" i="2" s="1"/>
  <c r="K24" i="1"/>
  <c r="M24" i="1"/>
  <c r="E27" i="1"/>
  <c r="I27" i="1"/>
  <c r="C24" i="2" s="1"/>
  <c r="F119" i="4"/>
  <c r="D27" i="1" s="1"/>
  <c r="C28" i="1"/>
  <c r="E28" i="1"/>
  <c r="G28" i="1"/>
  <c r="I28" i="1"/>
  <c r="C25" i="2" s="1"/>
  <c r="K28" i="1"/>
  <c r="M28" i="1"/>
  <c r="C29" i="1"/>
  <c r="F139" i="4"/>
  <c r="D32" i="1" s="1"/>
  <c r="D34" i="1"/>
  <c r="F34" i="1"/>
  <c r="H34" i="1"/>
  <c r="L34" i="1"/>
  <c r="N34" i="1"/>
  <c r="H39" i="1"/>
  <c r="L39" i="1"/>
  <c r="N39" i="1"/>
  <c r="C40" i="1"/>
  <c r="D42" i="1"/>
  <c r="F42" i="1"/>
  <c r="H42" i="1"/>
  <c r="J42" i="1"/>
  <c r="L42" i="1"/>
  <c r="N42" i="1"/>
  <c r="L113" i="4"/>
  <c r="E13" i="4"/>
  <c r="E59" i="4"/>
  <c r="C18" i="1" s="1"/>
  <c r="F24" i="1" l="1"/>
  <c r="N28" i="1"/>
  <c r="U182" i="4"/>
  <c r="D39" i="1"/>
  <c r="O39" i="1" s="1"/>
  <c r="U166" i="4"/>
  <c r="AL166" i="4" s="1"/>
  <c r="U162" i="4"/>
  <c r="AL162" i="4" s="1"/>
  <c r="U160" i="4"/>
  <c r="AL160" i="4" s="1"/>
  <c r="U141" i="4"/>
  <c r="AL141" i="4" s="1"/>
  <c r="U134" i="4"/>
  <c r="U122" i="4"/>
  <c r="AL122" i="4" s="1"/>
  <c r="U116" i="4"/>
  <c r="U80" i="4"/>
  <c r="U49" i="4"/>
  <c r="AE192" i="4"/>
  <c r="U35" i="4"/>
  <c r="AK35" i="4" s="1"/>
  <c r="AV35" i="4" s="1"/>
  <c r="AL50" i="4"/>
  <c r="U33" i="4"/>
  <c r="L24" i="1"/>
  <c r="Q113" i="4"/>
  <c r="AL54" i="4"/>
  <c r="AL37" i="4"/>
  <c r="AL26" i="4"/>
  <c r="AL9" i="4"/>
  <c r="L28" i="1"/>
  <c r="L26" i="1" s="1"/>
  <c r="Q174" i="4"/>
  <c r="O22" i="1"/>
  <c r="N24" i="1"/>
  <c r="AL22" i="4"/>
  <c r="O33" i="1"/>
  <c r="AL32" i="4"/>
  <c r="AL167" i="4"/>
  <c r="AL64" i="4"/>
  <c r="D29" i="1"/>
  <c r="D26" i="1" s="1"/>
  <c r="L20" i="1"/>
  <c r="N45" i="4"/>
  <c r="L12" i="1" s="1"/>
  <c r="AL169" i="4"/>
  <c r="AL52" i="4"/>
  <c r="AK124" i="4"/>
  <c r="AL135" i="4"/>
  <c r="AL173" i="4"/>
  <c r="Q154" i="4"/>
  <c r="L152" i="4"/>
  <c r="AK73" i="4"/>
  <c r="AL87" i="4"/>
  <c r="H20" i="1"/>
  <c r="H16" i="1" s="1"/>
  <c r="J45" i="4"/>
  <c r="H12" i="1" s="1"/>
  <c r="M29" i="1"/>
  <c r="M26" i="1" s="1"/>
  <c r="N20" i="1"/>
  <c r="P45" i="4"/>
  <c r="N12" i="1" s="1"/>
  <c r="AL133" i="4"/>
  <c r="D18" i="1"/>
  <c r="O18" i="1" s="1"/>
  <c r="AL127" i="4"/>
  <c r="AL94" i="4"/>
  <c r="K20" i="1"/>
  <c r="K16" i="1" s="1"/>
  <c r="M45" i="4"/>
  <c r="K12" i="1" s="1"/>
  <c r="F20" i="1"/>
  <c r="H45" i="4"/>
  <c r="F12" i="1" s="1"/>
  <c r="D20" i="1"/>
  <c r="F45" i="4"/>
  <c r="D12" i="1" s="1"/>
  <c r="AL150" i="4"/>
  <c r="I85" i="4"/>
  <c r="O17" i="1"/>
  <c r="AK94" i="4"/>
  <c r="AL108" i="4"/>
  <c r="AK182" i="4"/>
  <c r="AL25" i="4"/>
  <c r="AL124" i="4"/>
  <c r="C23" i="2"/>
  <c r="AL31" i="4"/>
  <c r="Q178" i="4"/>
  <c r="E20" i="1"/>
  <c r="E16" i="1" s="1"/>
  <c r="G45" i="4"/>
  <c r="E12" i="1" s="1"/>
  <c r="AK17" i="4"/>
  <c r="AL34" i="4"/>
  <c r="O40" i="1"/>
  <c r="Q176" i="4"/>
  <c r="D21" i="1"/>
  <c r="O21" i="1" s="1"/>
  <c r="O19" i="1"/>
  <c r="C13" i="2"/>
  <c r="C35" i="2"/>
  <c r="AK37" i="4"/>
  <c r="AK9" i="4"/>
  <c r="F5" i="7" s="1"/>
  <c r="U4" i="4"/>
  <c r="Q13" i="4"/>
  <c r="U13" i="4" s="1"/>
  <c r="D24" i="1"/>
  <c r="Q119" i="4"/>
  <c r="U119" i="4" s="1"/>
  <c r="Q90" i="4"/>
  <c r="U90" i="4" s="1"/>
  <c r="K192" i="4"/>
  <c r="E192" i="4"/>
  <c r="C47" i="1" s="1"/>
  <c r="Q55" i="4"/>
  <c r="AL143" i="4"/>
  <c r="Q106" i="4"/>
  <c r="Q59" i="4"/>
  <c r="Q63" i="4"/>
  <c r="O192" i="4"/>
  <c r="M47" i="1" s="1"/>
  <c r="Q76" i="4"/>
  <c r="Q139" i="4"/>
  <c r="N26" i="1"/>
  <c r="I16" i="1"/>
  <c r="C15" i="1"/>
  <c r="H26" i="1"/>
  <c r="K26" i="1"/>
  <c r="M38" i="1"/>
  <c r="K38" i="1"/>
  <c r="F15" i="1"/>
  <c r="G24" i="1"/>
  <c r="H15" i="1"/>
  <c r="F26" i="1"/>
  <c r="E15" i="1"/>
  <c r="K193" i="4"/>
  <c r="D15" i="1"/>
  <c r="M16" i="1"/>
  <c r="I38" i="1"/>
  <c r="G38" i="1"/>
  <c r="I15" i="1"/>
  <c r="G26" i="1"/>
  <c r="N15" i="1"/>
  <c r="L15" i="1"/>
  <c r="J15" i="1"/>
  <c r="O193" i="4"/>
  <c r="F38" i="1"/>
  <c r="G11" i="1"/>
  <c r="E193" i="4"/>
  <c r="K15" i="1"/>
  <c r="D11" i="1"/>
  <c r="I26" i="1"/>
  <c r="J38" i="1"/>
  <c r="E38" i="1"/>
  <c r="N38" i="1"/>
  <c r="C38" i="1"/>
  <c r="O32" i="1"/>
  <c r="C11" i="1"/>
  <c r="C16" i="1"/>
  <c r="C26" i="1"/>
  <c r="L38" i="1"/>
  <c r="H38" i="1"/>
  <c r="D38" i="1"/>
  <c r="E26" i="1"/>
  <c r="M15" i="1"/>
  <c r="M10" i="1" s="1"/>
  <c r="G15" i="1"/>
  <c r="O42" i="1"/>
  <c r="O27" i="1"/>
  <c r="H5" i="7" l="1"/>
  <c r="F16" i="1"/>
  <c r="M192" i="4"/>
  <c r="K47" i="1" s="1"/>
  <c r="N193" i="4"/>
  <c r="J193" i="4"/>
  <c r="AK160" i="4"/>
  <c r="AV160" i="4" s="1"/>
  <c r="AL182" i="4"/>
  <c r="AL80" i="4"/>
  <c r="AK33" i="4"/>
  <c r="F10" i="7" s="1"/>
  <c r="H10" i="7" s="1"/>
  <c r="D23" i="7" s="1"/>
  <c r="AL116" i="4"/>
  <c r="P30" i="1"/>
  <c r="AK141" i="4"/>
  <c r="AV141" i="4" s="1"/>
  <c r="AL134" i="4"/>
  <c r="AK162" i="4"/>
  <c r="AO162" i="4" s="1"/>
  <c r="AR162" i="4" s="1"/>
  <c r="AK122" i="4"/>
  <c r="AV122" i="4" s="1"/>
  <c r="AK166" i="4"/>
  <c r="AO166" i="4" s="1"/>
  <c r="AK134" i="4"/>
  <c r="AV134" i="4" s="1"/>
  <c r="AL212" i="4"/>
  <c r="AN212" i="4" s="1"/>
  <c r="AL33" i="4"/>
  <c r="H192" i="4"/>
  <c r="F47" i="1" s="1"/>
  <c r="J192" i="4"/>
  <c r="H47" i="1" s="1"/>
  <c r="N192" i="4"/>
  <c r="L47" i="1" s="1"/>
  <c r="N10" i="1"/>
  <c r="M193" i="4"/>
  <c r="AK80" i="4"/>
  <c r="AV80" i="4" s="1"/>
  <c r="AK49" i="4"/>
  <c r="AV49" i="4" s="1"/>
  <c r="AV94" i="4"/>
  <c r="AK116" i="4"/>
  <c r="AV116" i="4" s="1"/>
  <c r="H193" i="4"/>
  <c r="AV182" i="4"/>
  <c r="U178" i="4"/>
  <c r="AL178" i="4" s="1"/>
  <c r="U176" i="4"/>
  <c r="AL176" i="4" s="1"/>
  <c r="U174" i="4"/>
  <c r="U154" i="4"/>
  <c r="AL154" i="4" s="1"/>
  <c r="U139" i="4"/>
  <c r="AV124" i="4"/>
  <c r="U113" i="4"/>
  <c r="L16" i="1"/>
  <c r="U106" i="4"/>
  <c r="U76" i="4"/>
  <c r="AV73" i="4"/>
  <c r="U63" i="4"/>
  <c r="AL63" i="4" s="1"/>
  <c r="U59" i="4"/>
  <c r="AL59" i="4" s="1"/>
  <c r="U55" i="4"/>
  <c r="AL49" i="4"/>
  <c r="F10" i="1"/>
  <c r="F45" i="1" s="1"/>
  <c r="F43" i="1" s="1"/>
  <c r="K10" i="1"/>
  <c r="K45" i="1" s="1"/>
  <c r="K43" i="1" s="1"/>
  <c r="AJ192" i="4"/>
  <c r="AL35" i="4"/>
  <c r="AV17" i="4"/>
  <c r="N16" i="1"/>
  <c r="F193" i="4"/>
  <c r="AV9" i="4"/>
  <c r="AW12" i="4" s="1"/>
  <c r="AO37" i="4"/>
  <c r="P193" i="4"/>
  <c r="G192" i="4"/>
  <c r="E47" i="1" s="1"/>
  <c r="G193" i="4"/>
  <c r="L10" i="1"/>
  <c r="E10" i="1"/>
  <c r="E45" i="1" s="1"/>
  <c r="E43" i="1" s="1"/>
  <c r="D16" i="1"/>
  <c r="P192" i="4"/>
  <c r="N47" i="1" s="1"/>
  <c r="AL30" i="4"/>
  <c r="AL13" i="4"/>
  <c r="F192" i="4"/>
  <c r="D47" i="1" s="1"/>
  <c r="J11" i="1"/>
  <c r="O11" i="1" s="1"/>
  <c r="J34" i="1"/>
  <c r="O34" i="1" s="1"/>
  <c r="AL69" i="4"/>
  <c r="I47" i="1"/>
  <c r="C47" i="2"/>
  <c r="AL148" i="4"/>
  <c r="AK90" i="4"/>
  <c r="AL105" i="4"/>
  <c r="AL24" i="4"/>
  <c r="G20" i="1"/>
  <c r="G16" i="1" s="1"/>
  <c r="I45" i="4"/>
  <c r="AL90" i="4"/>
  <c r="AL77" i="4"/>
  <c r="L130" i="4"/>
  <c r="Q152" i="4"/>
  <c r="AK188" i="4"/>
  <c r="AL188" i="4"/>
  <c r="AL18" i="4"/>
  <c r="AL119" i="4"/>
  <c r="AK119" i="4"/>
  <c r="AL23" i="4"/>
  <c r="AL73" i="4"/>
  <c r="AK143" i="4"/>
  <c r="I10" i="1"/>
  <c r="I45" i="1" s="1"/>
  <c r="I43" i="1" s="1"/>
  <c r="C12" i="2"/>
  <c r="C7" i="2" s="1"/>
  <c r="H10" i="1"/>
  <c r="H45" i="1" s="1"/>
  <c r="H43" i="1" s="1"/>
  <c r="AK13" i="4"/>
  <c r="F6" i="7" s="1"/>
  <c r="H6" i="7" s="1"/>
  <c r="D10" i="1"/>
  <c r="M45" i="1"/>
  <c r="M43" i="1" s="1"/>
  <c r="O15" i="1"/>
  <c r="C10" i="1"/>
  <c r="O38" i="1"/>
  <c r="F12" i="7" l="1"/>
  <c r="D19" i="7"/>
  <c r="D22" i="7" s="1"/>
  <c r="H12" i="7"/>
  <c r="AL217" i="4"/>
  <c r="AN217" i="4" s="1"/>
  <c r="AN219" i="4" s="1"/>
  <c r="AV33" i="4"/>
  <c r="AK154" i="4"/>
  <c r="AL139" i="4"/>
  <c r="AV166" i="4"/>
  <c r="AL55" i="4"/>
  <c r="AL174" i="4"/>
  <c r="P38" i="1"/>
  <c r="AL76" i="4"/>
  <c r="AL106" i="4"/>
  <c r="L45" i="1"/>
  <c r="L43" i="1" s="1"/>
  <c r="J195" i="4"/>
  <c r="AK176" i="4"/>
  <c r="AK113" i="4"/>
  <c r="AV113" i="4" s="1"/>
  <c r="AK178" i="4"/>
  <c r="AV178" i="4" s="1"/>
  <c r="AK106" i="4"/>
  <c r="AO106" i="4" s="1"/>
  <c r="AS106" i="4" s="1"/>
  <c r="N195" i="4"/>
  <c r="AK139" i="4"/>
  <c r="AV139" i="4" s="1"/>
  <c r="N45" i="1"/>
  <c r="N43" i="1" s="1"/>
  <c r="AK174" i="4"/>
  <c r="AV174" i="4" s="1"/>
  <c r="AK63" i="4"/>
  <c r="AV63" i="4" s="1"/>
  <c r="AK59" i="4"/>
  <c r="AV59" i="4" s="1"/>
  <c r="AK76" i="4"/>
  <c r="AV76" i="4" s="1"/>
  <c r="AK55" i="4"/>
  <c r="AV55" i="4" s="1"/>
  <c r="AV188" i="4"/>
  <c r="AV176" i="4"/>
  <c r="AV154" i="4"/>
  <c r="U152" i="4"/>
  <c r="AV143" i="4"/>
  <c r="AV119" i="4"/>
  <c r="AL113" i="4"/>
  <c r="AV90" i="4"/>
  <c r="D45" i="1"/>
  <c r="D43" i="1" s="1"/>
  <c r="AU162" i="4"/>
  <c r="AV162" i="4" s="1"/>
  <c r="AR192" i="4"/>
  <c r="AT37" i="4"/>
  <c r="AU37" i="4" s="1"/>
  <c r="AV37" i="4" s="1"/>
  <c r="AV13" i="4"/>
  <c r="AT45" i="4"/>
  <c r="F195" i="4"/>
  <c r="G12" i="1"/>
  <c r="I193" i="4"/>
  <c r="I192" i="4"/>
  <c r="J29" i="1"/>
  <c r="L126" i="4"/>
  <c r="J28" i="1" s="1"/>
  <c r="O28" i="1" s="1"/>
  <c r="Q130" i="4"/>
  <c r="U130" i="4" s="1"/>
  <c r="AL17" i="4"/>
  <c r="C45" i="1"/>
  <c r="C43" i="1" s="1"/>
  <c r="E93" i="3"/>
  <c r="F93" i="3"/>
  <c r="H93" i="3"/>
  <c r="I93" i="3"/>
  <c r="J93" i="3"/>
  <c r="K93" i="3"/>
  <c r="L93" i="3"/>
  <c r="M93" i="3"/>
  <c r="N93" i="3"/>
  <c r="O93" i="3"/>
  <c r="D93" i="3"/>
  <c r="O112" i="3"/>
  <c r="E35" i="3"/>
  <c r="E34" i="3" s="1"/>
  <c r="F35" i="3"/>
  <c r="F34" i="3" s="1"/>
  <c r="H35" i="3"/>
  <c r="H34" i="3" s="1"/>
  <c r="I35" i="3"/>
  <c r="I34" i="3" s="1"/>
  <c r="J35" i="3"/>
  <c r="J34" i="3" s="1"/>
  <c r="D9" i="2" s="1"/>
  <c r="K35" i="3"/>
  <c r="K34" i="3" s="1"/>
  <c r="L35" i="3"/>
  <c r="L34" i="3" s="1"/>
  <c r="M35" i="3"/>
  <c r="M34" i="3" s="1"/>
  <c r="N35" i="3"/>
  <c r="N34" i="3" s="1"/>
  <c r="O34" i="3"/>
  <c r="D34" i="3"/>
  <c r="D17" i="3"/>
  <c r="AL219" i="4" l="1"/>
  <c r="AL152" i="4"/>
  <c r="P29" i="1"/>
  <c r="AK152" i="4"/>
  <c r="AV152" i="4" s="1"/>
  <c r="AO192" i="4"/>
  <c r="AU106" i="4"/>
  <c r="AV106" i="4" s="1"/>
  <c r="AT192" i="4"/>
  <c r="G10" i="1"/>
  <c r="G47" i="1"/>
  <c r="I195" i="4"/>
  <c r="L110" i="4"/>
  <c r="Q126" i="4"/>
  <c r="AK130" i="4"/>
  <c r="AL16" i="4"/>
  <c r="J26" i="1"/>
  <c r="O29" i="1"/>
  <c r="E9" i="2"/>
  <c r="G9" i="2" s="1"/>
  <c r="P236" i="3"/>
  <c r="O235" i="3"/>
  <c r="N235" i="3"/>
  <c r="M235" i="3"/>
  <c r="L235" i="3"/>
  <c r="K235" i="3"/>
  <c r="J235" i="3"/>
  <c r="I235" i="3"/>
  <c r="H235" i="3"/>
  <c r="F235" i="3"/>
  <c r="E235" i="3"/>
  <c r="D235" i="3"/>
  <c r="P234" i="3"/>
  <c r="O233" i="3"/>
  <c r="N233" i="3"/>
  <c r="M233" i="3"/>
  <c r="L233" i="3"/>
  <c r="K233" i="3"/>
  <c r="J233" i="3"/>
  <c r="I233" i="3"/>
  <c r="H233" i="3"/>
  <c r="F233" i="3"/>
  <c r="E233" i="3"/>
  <c r="D233" i="3"/>
  <c r="P230" i="3"/>
  <c r="O229" i="3"/>
  <c r="O228" i="3" s="1"/>
  <c r="N229" i="3"/>
  <c r="N228" i="3" s="1"/>
  <c r="M229" i="3"/>
  <c r="M228" i="3" s="1"/>
  <c r="L229" i="3"/>
  <c r="L228" i="3" s="1"/>
  <c r="K229" i="3"/>
  <c r="K228" i="3" s="1"/>
  <c r="J229" i="3"/>
  <c r="J228" i="3" s="1"/>
  <c r="I229" i="3"/>
  <c r="I228" i="3" s="1"/>
  <c r="H229" i="3"/>
  <c r="H228" i="3" s="1"/>
  <c r="F229" i="3"/>
  <c r="F228" i="3" s="1"/>
  <c r="E229" i="3"/>
  <c r="E228" i="3" s="1"/>
  <c r="D229" i="3"/>
  <c r="P227" i="3"/>
  <c r="O226" i="3"/>
  <c r="O225" i="3" s="1"/>
  <c r="N226" i="3"/>
  <c r="N225" i="3" s="1"/>
  <c r="M226" i="3"/>
  <c r="M225" i="3" s="1"/>
  <c r="L226" i="3"/>
  <c r="L225" i="3" s="1"/>
  <c r="K226" i="3"/>
  <c r="K225" i="3" s="1"/>
  <c r="J226" i="3"/>
  <c r="J225" i="3" s="1"/>
  <c r="D38" i="2" s="1"/>
  <c r="I226" i="3"/>
  <c r="I225" i="3" s="1"/>
  <c r="H226" i="3"/>
  <c r="H225" i="3" s="1"/>
  <c r="F226" i="3"/>
  <c r="F225" i="3" s="1"/>
  <c r="E226" i="3"/>
  <c r="E225" i="3" s="1"/>
  <c r="D226" i="3"/>
  <c r="D225" i="3" s="1"/>
  <c r="P222" i="3"/>
  <c r="O221" i="3"/>
  <c r="N221" i="3"/>
  <c r="M221" i="3"/>
  <c r="L221" i="3"/>
  <c r="K221" i="3"/>
  <c r="J221" i="3"/>
  <c r="I221" i="3"/>
  <c r="H221" i="3"/>
  <c r="F221" i="3"/>
  <c r="E221" i="3"/>
  <c r="D221" i="3"/>
  <c r="P218" i="3"/>
  <c r="N217" i="3"/>
  <c r="M217" i="3"/>
  <c r="L217" i="3"/>
  <c r="K217" i="3"/>
  <c r="J217" i="3"/>
  <c r="I217" i="3"/>
  <c r="H217" i="3"/>
  <c r="F217" i="3"/>
  <c r="E217" i="3"/>
  <c r="D217" i="3"/>
  <c r="P213" i="3"/>
  <c r="O212" i="3"/>
  <c r="O211" i="3" s="1"/>
  <c r="N212" i="3"/>
  <c r="N211" i="3" s="1"/>
  <c r="M212" i="3"/>
  <c r="M211" i="3" s="1"/>
  <c r="L212" i="3"/>
  <c r="L211" i="3" s="1"/>
  <c r="K212" i="3"/>
  <c r="K211" i="3" s="1"/>
  <c r="J212" i="3"/>
  <c r="J211" i="3" s="1"/>
  <c r="I212" i="3"/>
  <c r="I211" i="3" s="1"/>
  <c r="H212" i="3"/>
  <c r="H211" i="3" s="1"/>
  <c r="F212" i="3"/>
  <c r="F211" i="3" s="1"/>
  <c r="E212" i="3"/>
  <c r="E211" i="3" s="1"/>
  <c r="D212" i="3"/>
  <c r="D211" i="3" s="1"/>
  <c r="P210" i="3"/>
  <c r="O209" i="3"/>
  <c r="N209" i="3"/>
  <c r="M209" i="3"/>
  <c r="L209" i="3"/>
  <c r="K209" i="3"/>
  <c r="J209" i="3"/>
  <c r="I209" i="3"/>
  <c r="H209" i="3"/>
  <c r="F209" i="3"/>
  <c r="E209" i="3"/>
  <c r="D209" i="3"/>
  <c r="P208" i="3"/>
  <c r="O207" i="3"/>
  <c r="N207" i="3"/>
  <c r="M207" i="3"/>
  <c r="L207" i="3"/>
  <c r="K207" i="3"/>
  <c r="J207" i="3"/>
  <c r="I207" i="3"/>
  <c r="H207" i="3"/>
  <c r="F207" i="3"/>
  <c r="E207" i="3"/>
  <c r="D207" i="3"/>
  <c r="P205" i="3"/>
  <c r="O204" i="3"/>
  <c r="N204" i="3"/>
  <c r="M204" i="3"/>
  <c r="L204" i="3"/>
  <c r="K204" i="3"/>
  <c r="J204" i="3"/>
  <c r="I204" i="3"/>
  <c r="H204" i="3"/>
  <c r="F204" i="3"/>
  <c r="E204" i="3"/>
  <c r="D204" i="3"/>
  <c r="P203" i="3"/>
  <c r="O202" i="3"/>
  <c r="N202" i="3"/>
  <c r="M202" i="3"/>
  <c r="L202" i="3"/>
  <c r="K202" i="3"/>
  <c r="J202" i="3"/>
  <c r="I202" i="3"/>
  <c r="H202" i="3"/>
  <c r="F202" i="3"/>
  <c r="E202" i="3"/>
  <c r="D202" i="3"/>
  <c r="P201" i="3"/>
  <c r="O200" i="3"/>
  <c r="N200" i="3"/>
  <c r="M200" i="3"/>
  <c r="L200" i="3"/>
  <c r="K200" i="3"/>
  <c r="J200" i="3"/>
  <c r="I200" i="3"/>
  <c r="H200" i="3"/>
  <c r="F200" i="3"/>
  <c r="E200" i="3"/>
  <c r="D200" i="3"/>
  <c r="P197" i="3"/>
  <c r="O196" i="3"/>
  <c r="N196" i="3"/>
  <c r="M196" i="3"/>
  <c r="L196" i="3"/>
  <c r="K196" i="3"/>
  <c r="J196" i="3"/>
  <c r="I196" i="3"/>
  <c r="H196" i="3"/>
  <c r="F196" i="3"/>
  <c r="E196" i="3"/>
  <c r="D196" i="3"/>
  <c r="P195" i="3"/>
  <c r="O194" i="3"/>
  <c r="N194" i="3"/>
  <c r="M194" i="3"/>
  <c r="L194" i="3"/>
  <c r="K194" i="3"/>
  <c r="J194" i="3"/>
  <c r="I194" i="3"/>
  <c r="H194" i="3"/>
  <c r="F194" i="3"/>
  <c r="E194" i="3"/>
  <c r="D194" i="3"/>
  <c r="P192" i="3"/>
  <c r="O191" i="3"/>
  <c r="O190" i="3" s="1"/>
  <c r="N191" i="3"/>
  <c r="N190" i="3" s="1"/>
  <c r="M191" i="3"/>
  <c r="M190" i="3" s="1"/>
  <c r="L191" i="3"/>
  <c r="L190" i="3" s="1"/>
  <c r="K191" i="3"/>
  <c r="K190" i="3" s="1"/>
  <c r="J191" i="3"/>
  <c r="J190" i="3" s="1"/>
  <c r="D33" i="2" s="1"/>
  <c r="I191" i="3"/>
  <c r="I190" i="3" s="1"/>
  <c r="H191" i="3"/>
  <c r="H190" i="3" s="1"/>
  <c r="F191" i="3"/>
  <c r="F190" i="3" s="1"/>
  <c r="E191" i="3"/>
  <c r="E190" i="3" s="1"/>
  <c r="D191" i="3"/>
  <c r="P186" i="3"/>
  <c r="P185" i="3"/>
  <c r="P182" i="3"/>
  <c r="N181" i="3"/>
  <c r="M181" i="3"/>
  <c r="L181" i="3"/>
  <c r="K181" i="3"/>
  <c r="J181" i="3"/>
  <c r="I181" i="3"/>
  <c r="H181" i="3"/>
  <c r="F181" i="3"/>
  <c r="E181" i="3"/>
  <c r="P180" i="3"/>
  <c r="O179" i="3"/>
  <c r="N179" i="3"/>
  <c r="M179" i="3"/>
  <c r="L179" i="3"/>
  <c r="K179" i="3"/>
  <c r="J179" i="3"/>
  <c r="I179" i="3"/>
  <c r="H179" i="3"/>
  <c r="F179" i="3"/>
  <c r="E179" i="3"/>
  <c r="D179" i="3"/>
  <c r="P178" i="3"/>
  <c r="O177" i="3"/>
  <c r="N177" i="3"/>
  <c r="M177" i="3"/>
  <c r="L177" i="3"/>
  <c r="K177" i="3"/>
  <c r="J177" i="3"/>
  <c r="I177" i="3"/>
  <c r="H177" i="3"/>
  <c r="F177" i="3"/>
  <c r="E177" i="3"/>
  <c r="D177" i="3"/>
  <c r="P176" i="3"/>
  <c r="O175" i="3"/>
  <c r="N175" i="3"/>
  <c r="M175" i="3"/>
  <c r="L175" i="3"/>
  <c r="K175" i="3"/>
  <c r="J175" i="3"/>
  <c r="I175" i="3"/>
  <c r="H175" i="3"/>
  <c r="F175" i="3"/>
  <c r="E175" i="3"/>
  <c r="D175" i="3"/>
  <c r="P174" i="3"/>
  <c r="O173" i="3"/>
  <c r="N173" i="3"/>
  <c r="M173" i="3"/>
  <c r="L173" i="3"/>
  <c r="K173" i="3"/>
  <c r="J173" i="3"/>
  <c r="I173" i="3"/>
  <c r="H173" i="3"/>
  <c r="F173" i="3"/>
  <c r="E173" i="3"/>
  <c r="D173" i="3"/>
  <c r="P172" i="3"/>
  <c r="O171" i="3"/>
  <c r="N171" i="3"/>
  <c r="M171" i="3"/>
  <c r="L171" i="3"/>
  <c r="K171" i="3"/>
  <c r="J171" i="3"/>
  <c r="I171" i="3"/>
  <c r="H171" i="3"/>
  <c r="F171" i="3"/>
  <c r="E171" i="3"/>
  <c r="D171" i="3"/>
  <c r="P169" i="3"/>
  <c r="P168" i="3"/>
  <c r="P167" i="3"/>
  <c r="O166" i="3"/>
  <c r="N166" i="3"/>
  <c r="M166" i="3"/>
  <c r="L166" i="3"/>
  <c r="K166" i="3"/>
  <c r="J166" i="3"/>
  <c r="I166" i="3"/>
  <c r="H166" i="3"/>
  <c r="F166" i="3"/>
  <c r="E166" i="3"/>
  <c r="D166" i="3"/>
  <c r="P165" i="3"/>
  <c r="P164" i="3"/>
  <c r="P163" i="3"/>
  <c r="O162" i="3"/>
  <c r="N162" i="3"/>
  <c r="M162" i="3"/>
  <c r="L162" i="3"/>
  <c r="K162" i="3"/>
  <c r="J162" i="3"/>
  <c r="I162" i="3"/>
  <c r="H162" i="3"/>
  <c r="F162" i="3"/>
  <c r="E162" i="3"/>
  <c r="D162" i="3"/>
  <c r="P160" i="3"/>
  <c r="P159" i="3"/>
  <c r="O158" i="3"/>
  <c r="O157" i="3" s="1"/>
  <c r="N158" i="3"/>
  <c r="N157" i="3" s="1"/>
  <c r="M158" i="3"/>
  <c r="M157" i="3" s="1"/>
  <c r="L158" i="3"/>
  <c r="L157" i="3" s="1"/>
  <c r="K158" i="3"/>
  <c r="K157" i="3" s="1"/>
  <c r="J158" i="3"/>
  <c r="J157" i="3" s="1"/>
  <c r="D29" i="2" s="1"/>
  <c r="I158" i="3"/>
  <c r="I157" i="3" s="1"/>
  <c r="H158" i="3"/>
  <c r="H157" i="3" s="1"/>
  <c r="F158" i="3"/>
  <c r="F157" i="3" s="1"/>
  <c r="E158" i="3"/>
  <c r="E157" i="3" s="1"/>
  <c r="D158" i="3"/>
  <c r="D157" i="3" s="1"/>
  <c r="P156" i="3"/>
  <c r="O155" i="3"/>
  <c r="N155" i="3"/>
  <c r="M155" i="3"/>
  <c r="L155" i="3"/>
  <c r="K155" i="3"/>
  <c r="J155" i="3"/>
  <c r="I155" i="3"/>
  <c r="H155" i="3"/>
  <c r="H152" i="3" s="1"/>
  <c r="F155" i="3"/>
  <c r="E155" i="3"/>
  <c r="D155" i="3"/>
  <c r="P154" i="3"/>
  <c r="O153" i="3"/>
  <c r="O152" i="3" s="1"/>
  <c r="N153" i="3"/>
  <c r="N152" i="3" s="1"/>
  <c r="M153" i="3"/>
  <c r="M152" i="3" s="1"/>
  <c r="L153" i="3"/>
  <c r="L152" i="3" s="1"/>
  <c r="K153" i="3"/>
  <c r="K152" i="3" s="1"/>
  <c r="J153" i="3"/>
  <c r="J152" i="3" s="1"/>
  <c r="D28" i="2" s="1"/>
  <c r="I153" i="3"/>
  <c r="I152" i="3" s="1"/>
  <c r="H153" i="3"/>
  <c r="F153" i="3"/>
  <c r="F152" i="3" s="1"/>
  <c r="E153" i="3"/>
  <c r="E152" i="3" s="1"/>
  <c r="D152" i="3"/>
  <c r="O147" i="3"/>
  <c r="N147" i="3"/>
  <c r="M147" i="3"/>
  <c r="L147" i="3"/>
  <c r="K147" i="3"/>
  <c r="J147" i="3"/>
  <c r="I147" i="3"/>
  <c r="H147" i="3"/>
  <c r="F147" i="3"/>
  <c r="E147" i="3"/>
  <c r="D147" i="3"/>
  <c r="P146" i="3"/>
  <c r="O145" i="3"/>
  <c r="N145" i="3"/>
  <c r="M145" i="3"/>
  <c r="L145" i="3"/>
  <c r="K145" i="3"/>
  <c r="J145" i="3"/>
  <c r="I145" i="3"/>
  <c r="H145" i="3"/>
  <c r="F145" i="3"/>
  <c r="E145" i="3"/>
  <c r="D145" i="3"/>
  <c r="P144" i="3"/>
  <c r="O143" i="3"/>
  <c r="N143" i="3"/>
  <c r="M143" i="3"/>
  <c r="L143" i="3"/>
  <c r="K143" i="3"/>
  <c r="J143" i="3"/>
  <c r="I143" i="3"/>
  <c r="H143" i="3"/>
  <c r="F143" i="3"/>
  <c r="E143" i="3"/>
  <c r="D143" i="3"/>
  <c r="P142" i="3"/>
  <c r="O141" i="3"/>
  <c r="N141" i="3"/>
  <c r="M141" i="3"/>
  <c r="L141" i="3"/>
  <c r="K141" i="3"/>
  <c r="J141" i="3"/>
  <c r="I141" i="3"/>
  <c r="H141" i="3"/>
  <c r="F141" i="3"/>
  <c r="E141" i="3"/>
  <c r="D141" i="3"/>
  <c r="P137" i="3"/>
  <c r="O136" i="3"/>
  <c r="N136" i="3"/>
  <c r="M136" i="3"/>
  <c r="L136" i="3"/>
  <c r="K136" i="3"/>
  <c r="J136" i="3"/>
  <c r="I136" i="3"/>
  <c r="I127" i="3" s="1"/>
  <c r="H136" i="3"/>
  <c r="F136" i="3"/>
  <c r="E136" i="3"/>
  <c r="D136" i="3"/>
  <c r="P135" i="3"/>
  <c r="O134" i="3"/>
  <c r="N134" i="3"/>
  <c r="M134" i="3"/>
  <c r="L134" i="3"/>
  <c r="K134" i="3"/>
  <c r="J134" i="3"/>
  <c r="I134" i="3"/>
  <c r="H134" i="3"/>
  <c r="F134" i="3"/>
  <c r="E134" i="3"/>
  <c r="D134" i="3"/>
  <c r="P132" i="3"/>
  <c r="O131" i="3"/>
  <c r="N131" i="3"/>
  <c r="M131" i="3"/>
  <c r="L131" i="3"/>
  <c r="K131" i="3"/>
  <c r="J131" i="3"/>
  <c r="I131" i="3"/>
  <c r="H131" i="3"/>
  <c r="F131" i="3"/>
  <c r="E131" i="3"/>
  <c r="D131" i="3"/>
  <c r="P130" i="3"/>
  <c r="O129" i="3"/>
  <c r="O128" i="3" s="1"/>
  <c r="N129" i="3"/>
  <c r="M129" i="3"/>
  <c r="L129" i="3"/>
  <c r="K129" i="3"/>
  <c r="J129" i="3"/>
  <c r="I129" i="3"/>
  <c r="H129" i="3"/>
  <c r="F129" i="3"/>
  <c r="E129" i="3"/>
  <c r="D129" i="3"/>
  <c r="P126" i="3"/>
  <c r="O125" i="3"/>
  <c r="N125" i="3"/>
  <c r="M125" i="3"/>
  <c r="L125" i="3"/>
  <c r="K125" i="3"/>
  <c r="J125" i="3"/>
  <c r="I125" i="3"/>
  <c r="H125" i="3"/>
  <c r="F125" i="3"/>
  <c r="E125" i="3"/>
  <c r="D125" i="3"/>
  <c r="P124" i="3"/>
  <c r="O123" i="3"/>
  <c r="N123" i="3"/>
  <c r="M123" i="3"/>
  <c r="L123" i="3"/>
  <c r="K123" i="3"/>
  <c r="J123" i="3"/>
  <c r="I123" i="3"/>
  <c r="H123" i="3"/>
  <c r="F123" i="3"/>
  <c r="E123" i="3"/>
  <c r="D123" i="3"/>
  <c r="P121" i="3"/>
  <c r="O120" i="3"/>
  <c r="N120" i="3"/>
  <c r="M120" i="3"/>
  <c r="L120" i="3"/>
  <c r="K120" i="3"/>
  <c r="J120" i="3"/>
  <c r="I120" i="3"/>
  <c r="H120" i="3"/>
  <c r="F120" i="3"/>
  <c r="E120" i="3"/>
  <c r="D120" i="3"/>
  <c r="P115" i="3"/>
  <c r="O114" i="3"/>
  <c r="N114" i="3"/>
  <c r="M114" i="3"/>
  <c r="L114" i="3"/>
  <c r="K114" i="3"/>
  <c r="J114" i="3"/>
  <c r="I114" i="3"/>
  <c r="H114" i="3"/>
  <c r="E114" i="3"/>
  <c r="D114" i="3"/>
  <c r="P113" i="3"/>
  <c r="N112" i="3"/>
  <c r="M112" i="3"/>
  <c r="L112" i="3"/>
  <c r="K112" i="3"/>
  <c r="J112" i="3"/>
  <c r="I112" i="3"/>
  <c r="H112" i="3"/>
  <c r="F112" i="3"/>
  <c r="E112" i="3"/>
  <c r="D112" i="3"/>
  <c r="O109" i="3"/>
  <c r="N109" i="3"/>
  <c r="M109" i="3"/>
  <c r="L109" i="3"/>
  <c r="K109" i="3"/>
  <c r="J109" i="3"/>
  <c r="I109" i="3"/>
  <c r="H109" i="3"/>
  <c r="F109" i="3"/>
  <c r="E109" i="3"/>
  <c r="D109" i="3"/>
  <c r="P108" i="3"/>
  <c r="O107" i="3"/>
  <c r="O104" i="3" s="1"/>
  <c r="N107" i="3"/>
  <c r="M107" i="3"/>
  <c r="L107" i="3"/>
  <c r="K107" i="3"/>
  <c r="J107" i="3"/>
  <c r="I107" i="3"/>
  <c r="H107" i="3"/>
  <c r="F107" i="3"/>
  <c r="E107" i="3"/>
  <c r="D107" i="3"/>
  <c r="P101" i="3"/>
  <c r="P99" i="3"/>
  <c r="L98" i="3"/>
  <c r="L97" i="3" s="1"/>
  <c r="K98" i="3"/>
  <c r="K97" i="3" s="1"/>
  <c r="J98" i="3"/>
  <c r="J97" i="3" s="1"/>
  <c r="D20" i="2" s="1"/>
  <c r="I98" i="3"/>
  <c r="I97" i="3" s="1"/>
  <c r="H98" i="3"/>
  <c r="H97" i="3" s="1"/>
  <c r="F98" i="3"/>
  <c r="F97" i="3" s="1"/>
  <c r="E98" i="3"/>
  <c r="E97" i="3" s="1"/>
  <c r="P96" i="3"/>
  <c r="O95" i="3"/>
  <c r="O92" i="3" s="1"/>
  <c r="N95" i="3"/>
  <c r="N92" i="3" s="1"/>
  <c r="M95" i="3"/>
  <c r="M92" i="3" s="1"/>
  <c r="L95" i="3"/>
  <c r="K95" i="3"/>
  <c r="K92" i="3" s="1"/>
  <c r="J95" i="3"/>
  <c r="J92" i="3" s="1"/>
  <c r="D19" i="2" s="1"/>
  <c r="I95" i="3"/>
  <c r="I92" i="3" s="1"/>
  <c r="H95" i="3"/>
  <c r="H92" i="3" s="1"/>
  <c r="F95" i="3"/>
  <c r="F92" i="3" s="1"/>
  <c r="E95" i="3"/>
  <c r="E92" i="3" s="1"/>
  <c r="D95" i="3"/>
  <c r="D92" i="3" s="1"/>
  <c r="P94" i="3"/>
  <c r="P89" i="3"/>
  <c r="O88" i="3"/>
  <c r="N88" i="3"/>
  <c r="M88" i="3"/>
  <c r="L88" i="3"/>
  <c r="K88" i="3"/>
  <c r="J88" i="3"/>
  <c r="I88" i="3"/>
  <c r="H88" i="3"/>
  <c r="F88" i="3"/>
  <c r="E88" i="3"/>
  <c r="D88" i="3"/>
  <c r="P87" i="3"/>
  <c r="O86" i="3"/>
  <c r="N86" i="3"/>
  <c r="M86" i="3"/>
  <c r="L86" i="3"/>
  <c r="K86" i="3"/>
  <c r="J86" i="3"/>
  <c r="I86" i="3"/>
  <c r="H86" i="3"/>
  <c r="F86" i="3"/>
  <c r="E86" i="3"/>
  <c r="D86" i="3"/>
  <c r="P82" i="3"/>
  <c r="O81" i="3"/>
  <c r="N81" i="3"/>
  <c r="M81" i="3"/>
  <c r="L81" i="3"/>
  <c r="K81" i="3"/>
  <c r="J81" i="3"/>
  <c r="I81" i="3"/>
  <c r="H81" i="3"/>
  <c r="F81" i="3"/>
  <c r="E81" i="3"/>
  <c r="D81" i="3"/>
  <c r="P80" i="3"/>
  <c r="O79" i="3"/>
  <c r="N79" i="3"/>
  <c r="M79" i="3"/>
  <c r="L79" i="3"/>
  <c r="K79" i="3"/>
  <c r="J79" i="3"/>
  <c r="I79" i="3"/>
  <c r="H79" i="3"/>
  <c r="F79" i="3"/>
  <c r="E79" i="3"/>
  <c r="D79" i="3"/>
  <c r="P77" i="3"/>
  <c r="O76" i="3"/>
  <c r="N76" i="3"/>
  <c r="M76" i="3"/>
  <c r="L76" i="3"/>
  <c r="K76" i="3"/>
  <c r="J76" i="3"/>
  <c r="I76" i="3"/>
  <c r="H76" i="3"/>
  <c r="F76" i="3"/>
  <c r="E76" i="3"/>
  <c r="D76" i="3"/>
  <c r="P75" i="3"/>
  <c r="O74" i="3"/>
  <c r="N74" i="3"/>
  <c r="M74" i="3"/>
  <c r="L74" i="3"/>
  <c r="K74" i="3"/>
  <c r="J74" i="3"/>
  <c r="I74" i="3"/>
  <c r="H74" i="3"/>
  <c r="F74" i="3"/>
  <c r="E74" i="3"/>
  <c r="D74" i="3"/>
  <c r="P72" i="3"/>
  <c r="O71" i="3"/>
  <c r="N71" i="3"/>
  <c r="M71" i="3"/>
  <c r="L71" i="3"/>
  <c r="K71" i="3"/>
  <c r="J71" i="3"/>
  <c r="I71" i="3"/>
  <c r="H71" i="3"/>
  <c r="F71" i="3"/>
  <c r="E71" i="3"/>
  <c r="D71" i="3"/>
  <c r="P70" i="3"/>
  <c r="O69" i="3"/>
  <c r="N69" i="3"/>
  <c r="M69" i="3"/>
  <c r="L69" i="3"/>
  <c r="K69" i="3"/>
  <c r="J69" i="3"/>
  <c r="I69" i="3"/>
  <c r="H69" i="3"/>
  <c r="F69" i="3"/>
  <c r="E69" i="3"/>
  <c r="D69" i="3"/>
  <c r="P67" i="3"/>
  <c r="O66" i="3"/>
  <c r="N66" i="3"/>
  <c r="M66" i="3"/>
  <c r="L66" i="3"/>
  <c r="K66" i="3"/>
  <c r="J66" i="3"/>
  <c r="I66" i="3"/>
  <c r="H66" i="3"/>
  <c r="F66" i="3"/>
  <c r="E66" i="3"/>
  <c r="D66" i="3"/>
  <c r="P65" i="3"/>
  <c r="O64" i="3"/>
  <c r="N64" i="3"/>
  <c r="M64" i="3"/>
  <c r="L64" i="3"/>
  <c r="K64" i="3"/>
  <c r="J64" i="3"/>
  <c r="I64" i="3"/>
  <c r="H64" i="3"/>
  <c r="F64" i="3"/>
  <c r="E64" i="3"/>
  <c r="D64" i="3"/>
  <c r="P63" i="3"/>
  <c r="O62" i="3"/>
  <c r="N62" i="3"/>
  <c r="M62" i="3"/>
  <c r="L62" i="3"/>
  <c r="K62" i="3"/>
  <c r="J62" i="3"/>
  <c r="I62" i="3"/>
  <c r="H62" i="3"/>
  <c r="F62" i="3"/>
  <c r="E62" i="3"/>
  <c r="D62" i="3"/>
  <c r="P61" i="3"/>
  <c r="O60" i="3"/>
  <c r="N60" i="3"/>
  <c r="M60" i="3"/>
  <c r="L60" i="3"/>
  <c r="K60" i="3"/>
  <c r="J60" i="3"/>
  <c r="I60" i="3"/>
  <c r="H60" i="3"/>
  <c r="F60" i="3"/>
  <c r="E60" i="3"/>
  <c r="D60" i="3"/>
  <c r="P59" i="3"/>
  <c r="O58" i="3"/>
  <c r="N58" i="3"/>
  <c r="M58" i="3"/>
  <c r="L58" i="3"/>
  <c r="K58" i="3"/>
  <c r="J58" i="3"/>
  <c r="I58" i="3"/>
  <c r="H58" i="3"/>
  <c r="F58" i="3"/>
  <c r="E58" i="3"/>
  <c r="D58" i="3"/>
  <c r="P57" i="3"/>
  <c r="O56" i="3"/>
  <c r="N56" i="3"/>
  <c r="M56" i="3"/>
  <c r="L56" i="3"/>
  <c r="K56" i="3"/>
  <c r="J56" i="3"/>
  <c r="I56" i="3"/>
  <c r="H56" i="3"/>
  <c r="F56" i="3"/>
  <c r="E56" i="3"/>
  <c r="D56" i="3"/>
  <c r="P53" i="3"/>
  <c r="O52" i="3"/>
  <c r="N52" i="3"/>
  <c r="M52" i="3"/>
  <c r="L52" i="3"/>
  <c r="K52" i="3"/>
  <c r="J52" i="3"/>
  <c r="I52" i="3"/>
  <c r="H52" i="3"/>
  <c r="F52" i="3"/>
  <c r="E52" i="3"/>
  <c r="D52" i="3"/>
  <c r="P51" i="3"/>
  <c r="O50" i="3"/>
  <c r="N50" i="3"/>
  <c r="M50" i="3"/>
  <c r="L50" i="3"/>
  <c r="K50" i="3"/>
  <c r="J50" i="3"/>
  <c r="I50" i="3"/>
  <c r="H50" i="3"/>
  <c r="F50" i="3"/>
  <c r="D50" i="3"/>
  <c r="P49" i="3"/>
  <c r="O48" i="3"/>
  <c r="O47" i="3" s="1"/>
  <c r="N48" i="3"/>
  <c r="M48" i="3"/>
  <c r="L48" i="3"/>
  <c r="K48" i="3"/>
  <c r="J48" i="3"/>
  <c r="I48" i="3"/>
  <c r="H48" i="3"/>
  <c r="F48" i="3"/>
  <c r="E48" i="3"/>
  <c r="D48" i="3"/>
  <c r="P46" i="3"/>
  <c r="O45" i="3"/>
  <c r="N45" i="3"/>
  <c r="M45" i="3"/>
  <c r="L45" i="3"/>
  <c r="K45" i="3"/>
  <c r="J45" i="3"/>
  <c r="D11" i="2" s="1"/>
  <c r="I45" i="3"/>
  <c r="H45" i="3"/>
  <c r="F45" i="3"/>
  <c r="E45" i="3"/>
  <c r="D45" i="3"/>
  <c r="P44" i="3"/>
  <c r="O43" i="3"/>
  <c r="N43" i="3"/>
  <c r="M43" i="3"/>
  <c r="L43" i="3"/>
  <c r="K43" i="3"/>
  <c r="J43" i="3"/>
  <c r="I43" i="3"/>
  <c r="H43" i="3"/>
  <c r="F43" i="3"/>
  <c r="E43" i="3"/>
  <c r="D43" i="3"/>
  <c r="O42" i="3"/>
  <c r="N42" i="3"/>
  <c r="M42" i="3"/>
  <c r="L42" i="3"/>
  <c r="K42" i="3"/>
  <c r="J42" i="3"/>
  <c r="D10" i="2" s="1"/>
  <c r="I42" i="3"/>
  <c r="H42" i="3"/>
  <c r="F42" i="3"/>
  <c r="E42" i="3"/>
  <c r="D42" i="3"/>
  <c r="P37" i="3"/>
  <c r="P35" i="3"/>
  <c r="P33" i="3"/>
  <c r="N31" i="3"/>
  <c r="M31" i="3"/>
  <c r="L31" i="3"/>
  <c r="K31" i="3"/>
  <c r="H31" i="3"/>
  <c r="F31" i="3"/>
  <c r="E31" i="3"/>
  <c r="D31" i="3"/>
  <c r="P30" i="3"/>
  <c r="O29" i="3"/>
  <c r="N29" i="3"/>
  <c r="M29" i="3"/>
  <c r="L29" i="3"/>
  <c r="K29" i="3"/>
  <c r="J29" i="3"/>
  <c r="I29" i="3"/>
  <c r="H29" i="3"/>
  <c r="F29" i="3"/>
  <c r="E29" i="3"/>
  <c r="D29" i="3"/>
  <c r="P28" i="3"/>
  <c r="O27" i="3"/>
  <c r="N27" i="3"/>
  <c r="M27" i="3"/>
  <c r="L27" i="3"/>
  <c r="K27" i="3"/>
  <c r="J27" i="3"/>
  <c r="J16" i="3" s="1"/>
  <c r="D8" i="2" s="1"/>
  <c r="I27" i="3"/>
  <c r="H27" i="3"/>
  <c r="F27" i="3"/>
  <c r="E27" i="3"/>
  <c r="D27" i="3"/>
  <c r="P23" i="3"/>
  <c r="P22" i="3"/>
  <c r="P21" i="3"/>
  <c r="P20" i="3"/>
  <c r="P18" i="3"/>
  <c r="P17" i="3"/>
  <c r="F27" i="2"/>
  <c r="F9" i="2"/>
  <c r="G27" i="2"/>
  <c r="D55" i="3" l="1"/>
  <c r="O55" i="3"/>
  <c r="L104" i="3"/>
  <c r="L92" i="3"/>
  <c r="D105" i="3"/>
  <c r="P106" i="3"/>
  <c r="P42" i="3"/>
  <c r="AV130" i="4"/>
  <c r="U126" i="4"/>
  <c r="AZ8" i="4" s="1"/>
  <c r="J24" i="1"/>
  <c r="O24" i="1" s="1"/>
  <c r="G45" i="1"/>
  <c r="G43" i="1" s="1"/>
  <c r="AL130" i="4"/>
  <c r="O26" i="1"/>
  <c r="AL15" i="4"/>
  <c r="L85" i="4"/>
  <c r="Q110" i="4"/>
  <c r="H83" i="3"/>
  <c r="E10" i="2"/>
  <c r="G10" i="2" s="1"/>
  <c r="E20" i="2"/>
  <c r="G20" i="2" s="1"/>
  <c r="E11" i="2"/>
  <c r="G11" i="2" s="1"/>
  <c r="E19" i="2"/>
  <c r="E29" i="2"/>
  <c r="G29" i="2" s="1"/>
  <c r="E33" i="2"/>
  <c r="E38" i="2"/>
  <c r="G38" i="2" s="1"/>
  <c r="N193" i="3"/>
  <c r="N189" i="3" s="1"/>
  <c r="L68" i="3"/>
  <c r="E193" i="3"/>
  <c r="E189" i="3" s="1"/>
  <c r="L232" i="3"/>
  <c r="L231" i="3" s="1"/>
  <c r="M68" i="3"/>
  <c r="I78" i="3"/>
  <c r="J161" i="3"/>
  <c r="D30" i="2" s="1"/>
  <c r="M73" i="3"/>
  <c r="O161" i="3"/>
  <c r="L161" i="3"/>
  <c r="J193" i="3"/>
  <c r="E206" i="3"/>
  <c r="I206" i="3"/>
  <c r="K68" i="3"/>
  <c r="I73" i="3"/>
  <c r="K206" i="3"/>
  <c r="F10" i="2"/>
  <c r="F11" i="2"/>
  <c r="L47" i="3"/>
  <c r="I68" i="3"/>
  <c r="L122" i="3"/>
  <c r="K128" i="3"/>
  <c r="H133" i="3"/>
  <c r="H73" i="3"/>
  <c r="F29" i="2"/>
  <c r="E68" i="3"/>
  <c r="M78" i="3"/>
  <c r="L214" i="3"/>
  <c r="K122" i="3"/>
  <c r="O193" i="3"/>
  <c r="O189" i="3" s="1"/>
  <c r="E28" i="2"/>
  <c r="G28" i="2" s="1"/>
  <c r="F28" i="2"/>
  <c r="F161" i="3"/>
  <c r="D193" i="3"/>
  <c r="F193" i="3"/>
  <c r="F38" i="2"/>
  <c r="F20" i="2"/>
  <c r="M193" i="3"/>
  <c r="M189" i="3" s="1"/>
  <c r="O199" i="3"/>
  <c r="O198" i="3" s="1"/>
  <c r="H206" i="3"/>
  <c r="N206" i="3"/>
  <c r="D16" i="3"/>
  <c r="J47" i="3"/>
  <c r="I16" i="3"/>
  <c r="O68" i="3"/>
  <c r="J73" i="3"/>
  <c r="D16" i="2" s="1"/>
  <c r="D78" i="3"/>
  <c r="L78" i="3"/>
  <c r="O78" i="3"/>
  <c r="J83" i="3"/>
  <c r="D18" i="2" s="1"/>
  <c r="N83" i="3"/>
  <c r="H104" i="3"/>
  <c r="P123" i="3"/>
  <c r="H122" i="3"/>
  <c r="N122" i="3"/>
  <c r="I122" i="3"/>
  <c r="H128" i="3"/>
  <c r="J128" i="3"/>
  <c r="D24" i="2" s="1"/>
  <c r="N128" i="3"/>
  <c r="L133" i="3"/>
  <c r="K133" i="3"/>
  <c r="E161" i="3"/>
  <c r="I214" i="3"/>
  <c r="I232" i="3"/>
  <c r="O232" i="3"/>
  <c r="O231" i="3" s="1"/>
  <c r="F47" i="3"/>
  <c r="K199" i="3"/>
  <c r="F68" i="3"/>
  <c r="K78" i="3"/>
  <c r="F122" i="3"/>
  <c r="N161" i="3"/>
  <c r="J206" i="3"/>
  <c r="P233" i="3"/>
  <c r="L140" i="3"/>
  <c r="F55" i="3"/>
  <c r="J68" i="3"/>
  <c r="D15" i="2" s="1"/>
  <c r="F73" i="3"/>
  <c r="N78" i="3"/>
  <c r="M206" i="3"/>
  <c r="F214" i="3"/>
  <c r="F232" i="3"/>
  <c r="F231" i="3" s="1"/>
  <c r="K170" i="3"/>
  <c r="P64" i="3"/>
  <c r="K47" i="3"/>
  <c r="O83" i="3"/>
  <c r="I193" i="3"/>
  <c r="O206" i="3"/>
  <c r="H214" i="3"/>
  <c r="H232" i="3"/>
  <c r="H231" i="3" s="1"/>
  <c r="I55" i="3"/>
  <c r="P120" i="3"/>
  <c r="P155" i="3"/>
  <c r="F78" i="3"/>
  <c r="F133" i="3"/>
  <c r="I199" i="3"/>
  <c r="D83" i="3"/>
  <c r="N68" i="3"/>
  <c r="E83" i="3"/>
  <c r="L128" i="3"/>
  <c r="L193" i="3"/>
  <c r="L189" i="3" s="1"/>
  <c r="K193" i="3"/>
  <c r="K189" i="3" s="1"/>
  <c r="E73" i="3"/>
  <c r="E122" i="3"/>
  <c r="P31" i="3"/>
  <c r="P66" i="3"/>
  <c r="P60" i="3"/>
  <c r="M232" i="3"/>
  <c r="M231" i="3" s="1"/>
  <c r="P235" i="3"/>
  <c r="E232" i="3"/>
  <c r="E231" i="3" s="1"/>
  <c r="J232" i="3"/>
  <c r="K232" i="3"/>
  <c r="K231" i="3" s="1"/>
  <c r="N232" i="3"/>
  <c r="N231" i="3" s="1"/>
  <c r="P229" i="3"/>
  <c r="P226" i="3"/>
  <c r="P221" i="3"/>
  <c r="M214" i="3"/>
  <c r="J214" i="3"/>
  <c r="D37" i="2" s="1"/>
  <c r="N214" i="3"/>
  <c r="P217" i="3"/>
  <c r="K214" i="3"/>
  <c r="E214" i="3"/>
  <c r="P212" i="3"/>
  <c r="P209" i="3"/>
  <c r="L206" i="3"/>
  <c r="D206" i="3"/>
  <c r="F206" i="3"/>
  <c r="P207" i="3"/>
  <c r="F199" i="3"/>
  <c r="P204" i="3"/>
  <c r="J199" i="3"/>
  <c r="D36" i="2" s="1"/>
  <c r="P202" i="3"/>
  <c r="H199" i="3"/>
  <c r="N199" i="3"/>
  <c r="M199" i="3"/>
  <c r="L199" i="3"/>
  <c r="P200" i="3"/>
  <c r="E199" i="3"/>
  <c r="P196" i="3"/>
  <c r="H193" i="3"/>
  <c r="P191" i="3"/>
  <c r="P184" i="3"/>
  <c r="P181" i="3"/>
  <c r="O170" i="3"/>
  <c r="O127" i="3" s="1"/>
  <c r="P179" i="3"/>
  <c r="N170" i="3"/>
  <c r="P177" i="3"/>
  <c r="L170" i="3"/>
  <c r="E170" i="3"/>
  <c r="P175" i="3"/>
  <c r="M170" i="3"/>
  <c r="H170" i="3"/>
  <c r="P173" i="3"/>
  <c r="I170" i="3"/>
  <c r="F170" i="3"/>
  <c r="J170" i="3"/>
  <c r="D31" i="2" s="1"/>
  <c r="P171" i="3"/>
  <c r="P166" i="3"/>
  <c r="H161" i="3"/>
  <c r="I161" i="3"/>
  <c r="K161" i="3"/>
  <c r="P162" i="3"/>
  <c r="M161" i="3"/>
  <c r="P158" i="3"/>
  <c r="P152" i="3"/>
  <c r="P153" i="3"/>
  <c r="M140" i="3"/>
  <c r="N140" i="3"/>
  <c r="F140" i="3"/>
  <c r="P147" i="3"/>
  <c r="I140" i="3"/>
  <c r="O140" i="3"/>
  <c r="P145" i="3"/>
  <c r="J140" i="3"/>
  <c r="D26" i="2" s="1"/>
  <c r="P143" i="3"/>
  <c r="K140" i="3"/>
  <c r="P141" i="3"/>
  <c r="E140" i="3"/>
  <c r="H140" i="3"/>
  <c r="E133" i="3"/>
  <c r="P136" i="3"/>
  <c r="M133" i="3"/>
  <c r="O133" i="3"/>
  <c r="P134" i="3"/>
  <c r="J133" i="3"/>
  <c r="D25" i="2" s="1"/>
  <c r="N133" i="3"/>
  <c r="M128" i="3"/>
  <c r="E128" i="3"/>
  <c r="P131" i="3"/>
  <c r="F128" i="3"/>
  <c r="I128" i="3"/>
  <c r="P129" i="3"/>
  <c r="J122" i="3"/>
  <c r="D22" i="2" s="1"/>
  <c r="O122" i="3"/>
  <c r="P125" i="3"/>
  <c r="M122" i="3"/>
  <c r="N104" i="3"/>
  <c r="O98" i="3"/>
  <c r="O97" i="3" s="1"/>
  <c r="M104" i="3"/>
  <c r="M98" i="3" s="1"/>
  <c r="M97" i="3" s="1"/>
  <c r="P114" i="3"/>
  <c r="E104" i="3"/>
  <c r="P112" i="3"/>
  <c r="P109" i="3"/>
  <c r="F104" i="3"/>
  <c r="J104" i="3"/>
  <c r="D21" i="2" s="1"/>
  <c r="I104" i="3"/>
  <c r="K104" i="3"/>
  <c r="P95" i="3"/>
  <c r="P88" i="3"/>
  <c r="P86" i="3"/>
  <c r="E78" i="3"/>
  <c r="P81" i="3"/>
  <c r="H78" i="3"/>
  <c r="J78" i="3"/>
  <c r="D17" i="2" s="1"/>
  <c r="N73" i="3"/>
  <c r="K73" i="3"/>
  <c r="P71" i="3"/>
  <c r="P69" i="3"/>
  <c r="H68" i="3"/>
  <c r="L55" i="3"/>
  <c r="P62" i="3"/>
  <c r="M55" i="3"/>
  <c r="J55" i="3"/>
  <c r="D14" i="2" s="1"/>
  <c r="K55" i="3"/>
  <c r="P58" i="3"/>
  <c r="H55" i="3"/>
  <c r="P56" i="3"/>
  <c r="E55" i="3"/>
  <c r="N55" i="3"/>
  <c r="H16" i="3"/>
  <c r="P52" i="3"/>
  <c r="H47" i="3"/>
  <c r="P50" i="3"/>
  <c r="E47" i="3"/>
  <c r="I47" i="3"/>
  <c r="M47" i="3"/>
  <c r="P48" i="3"/>
  <c r="N47" i="3"/>
  <c r="P45" i="3"/>
  <c r="P43" i="3"/>
  <c r="P107" i="3"/>
  <c r="P79" i="3"/>
  <c r="P76" i="3"/>
  <c r="L73" i="3"/>
  <c r="P74" i="3"/>
  <c r="O73" i="3"/>
  <c r="P34" i="3"/>
  <c r="P29" i="3"/>
  <c r="N16" i="3"/>
  <c r="M16" i="3"/>
  <c r="P27" i="3"/>
  <c r="L16" i="3"/>
  <c r="E16" i="3"/>
  <c r="F16" i="3"/>
  <c r="O16" i="3"/>
  <c r="K16" i="3"/>
  <c r="P19" i="3"/>
  <c r="P211" i="3"/>
  <c r="P92" i="3"/>
  <c r="P157" i="3"/>
  <c r="P225" i="3"/>
  <c r="P93" i="3"/>
  <c r="P194" i="3"/>
  <c r="D140" i="3"/>
  <c r="D68" i="3"/>
  <c r="D128" i="3"/>
  <c r="D170" i="3"/>
  <c r="D47" i="3"/>
  <c r="D228" i="3"/>
  <c r="P228" i="3" s="1"/>
  <c r="D199" i="3"/>
  <c r="D161" i="3"/>
  <c r="D73" i="3"/>
  <c r="D133" i="3"/>
  <c r="D190" i="3"/>
  <c r="D214" i="3"/>
  <c r="D232" i="3"/>
  <c r="D122" i="3"/>
  <c r="M54" i="3" l="1"/>
  <c r="P105" i="3"/>
  <c r="D104" i="3"/>
  <c r="D54" i="3"/>
  <c r="AK126" i="4"/>
  <c r="AV126" i="4" s="1"/>
  <c r="P26" i="1"/>
  <c r="L54" i="3"/>
  <c r="L15" i="3"/>
  <c r="P100" i="3"/>
  <c r="N98" i="3"/>
  <c r="N97" i="3" s="1"/>
  <c r="P133" i="3"/>
  <c r="AL126" i="4"/>
  <c r="E18" i="2"/>
  <c r="G18" i="2" s="1"/>
  <c r="J189" i="3"/>
  <c r="D34" i="2"/>
  <c r="D32" i="2" s="1"/>
  <c r="F32" i="2" s="1"/>
  <c r="J231" i="3"/>
  <c r="D39" i="2" s="1"/>
  <c r="D40" i="2"/>
  <c r="J15" i="3"/>
  <c r="D12" i="2"/>
  <c r="D7" i="2" s="1"/>
  <c r="U110" i="4"/>
  <c r="AL14" i="4"/>
  <c r="J20" i="1"/>
  <c r="L45" i="4"/>
  <c r="Q85" i="4"/>
  <c r="U85" i="4" s="1"/>
  <c r="I54" i="3"/>
  <c r="D13" i="2"/>
  <c r="I231" i="3"/>
  <c r="I189" i="3"/>
  <c r="E16" i="2"/>
  <c r="G16" i="2" s="1"/>
  <c r="E22" i="2"/>
  <c r="G22" i="2" s="1"/>
  <c r="E8" i="2"/>
  <c r="E24" i="2"/>
  <c r="G24" i="2" s="1"/>
  <c r="E31" i="2"/>
  <c r="G31" i="2" s="1"/>
  <c r="E17" i="2"/>
  <c r="G17" i="2" s="1"/>
  <c r="E26" i="2"/>
  <c r="E36" i="2"/>
  <c r="H54" i="3"/>
  <c r="E21" i="2"/>
  <c r="G21" i="2" s="1"/>
  <c r="E25" i="2"/>
  <c r="G25" i="2" s="1"/>
  <c r="E37" i="2"/>
  <c r="G37" i="2" s="1"/>
  <c r="E15" i="2"/>
  <c r="G15" i="2" s="1"/>
  <c r="D23" i="2"/>
  <c r="E30" i="2"/>
  <c r="I15" i="3"/>
  <c r="N15" i="3"/>
  <c r="K15" i="3"/>
  <c r="K198" i="3"/>
  <c r="L198" i="3"/>
  <c r="L13" i="3" s="1"/>
  <c r="I198" i="3"/>
  <c r="D35" i="2" s="1"/>
  <c r="M15" i="3"/>
  <c r="F189" i="3"/>
  <c r="F15" i="2"/>
  <c r="F17" i="2"/>
  <c r="F21" i="2"/>
  <c r="F24" i="2"/>
  <c r="F25" i="2"/>
  <c r="F26" i="2"/>
  <c r="F31" i="2"/>
  <c r="E198" i="3"/>
  <c r="F37" i="2"/>
  <c r="F22" i="2"/>
  <c r="F33" i="2"/>
  <c r="P161" i="3"/>
  <c r="F16" i="2"/>
  <c r="F127" i="3"/>
  <c r="F18" i="2"/>
  <c r="F15" i="3"/>
  <c r="H15" i="3"/>
  <c r="H198" i="3"/>
  <c r="K127" i="3"/>
  <c r="F54" i="3"/>
  <c r="P193" i="3"/>
  <c r="P78" i="3"/>
  <c r="O15" i="3"/>
  <c r="E15" i="3"/>
  <c r="D15" i="3"/>
  <c r="M198" i="3"/>
  <c r="N198" i="3"/>
  <c r="P214" i="3"/>
  <c r="J198" i="3"/>
  <c r="P206" i="3"/>
  <c r="F198" i="3"/>
  <c r="H189" i="3"/>
  <c r="P170" i="3"/>
  <c r="H127" i="3"/>
  <c r="M127" i="3"/>
  <c r="N127" i="3"/>
  <c r="P140" i="3"/>
  <c r="J127" i="3"/>
  <c r="E127" i="3"/>
  <c r="P122" i="3"/>
  <c r="P104" i="3"/>
  <c r="K54" i="3"/>
  <c r="P83" i="3"/>
  <c r="E54" i="3"/>
  <c r="J54" i="3"/>
  <c r="N54" i="3"/>
  <c r="P68" i="3"/>
  <c r="O54" i="3"/>
  <c r="P47" i="3"/>
  <c r="P73" i="3"/>
  <c r="P16" i="3"/>
  <c r="P128" i="3"/>
  <c r="D127" i="3"/>
  <c r="P55" i="3"/>
  <c r="P232" i="3"/>
  <c r="D231" i="3"/>
  <c r="P190" i="3"/>
  <c r="D189" i="3"/>
  <c r="P199" i="3"/>
  <c r="D198" i="3"/>
  <c r="AK110" i="4" l="1"/>
  <c r="AV110" i="4" s="1"/>
  <c r="P16" i="1"/>
  <c r="P98" i="3"/>
  <c r="AL110" i="4"/>
  <c r="E12" i="2"/>
  <c r="E7" i="2" s="1"/>
  <c r="P231" i="3"/>
  <c r="Q45" i="4"/>
  <c r="Q192" i="4" s="1"/>
  <c r="J12" i="1"/>
  <c r="L193" i="4"/>
  <c r="Q193" i="4" s="1"/>
  <c r="L192" i="4"/>
  <c r="O20" i="1"/>
  <c r="J16" i="1"/>
  <c r="AK85" i="4"/>
  <c r="AL12" i="4"/>
  <c r="AL10" i="4"/>
  <c r="F40" i="2"/>
  <c r="E40" i="2"/>
  <c r="G40" i="2" s="1"/>
  <c r="E39" i="2"/>
  <c r="G39" i="2" s="1"/>
  <c r="F39" i="2"/>
  <c r="F34" i="2"/>
  <c r="D44" i="2"/>
  <c r="E34" i="2"/>
  <c r="G34" i="2" s="1"/>
  <c r="E14" i="2"/>
  <c r="E13" i="2" s="1"/>
  <c r="F35" i="2"/>
  <c r="E23" i="2"/>
  <c r="G26" i="2"/>
  <c r="I13" i="3"/>
  <c r="G33" i="2"/>
  <c r="K13" i="3"/>
  <c r="F36" i="2"/>
  <c r="F13" i="3"/>
  <c r="Z195" i="4" s="1"/>
  <c r="Z196" i="4" s="1"/>
  <c r="P189" i="3"/>
  <c r="E13" i="3"/>
  <c r="P97" i="3"/>
  <c r="P198" i="3"/>
  <c r="H13" i="3"/>
  <c r="H12" i="3" s="1"/>
  <c r="N13" i="3"/>
  <c r="M13" i="3"/>
  <c r="M12" i="3" s="1"/>
  <c r="J13" i="3"/>
  <c r="D47" i="2" s="1"/>
  <c r="P127" i="3"/>
  <c r="O13" i="3"/>
  <c r="P54" i="3"/>
  <c r="P15" i="3"/>
  <c r="D13" i="3"/>
  <c r="X195" i="4" s="1"/>
  <c r="X196" i="4" s="1"/>
  <c r="U45" i="4" l="1"/>
  <c r="U193" i="4"/>
  <c r="Q195" i="4"/>
  <c r="AV85" i="4"/>
  <c r="J47" i="1"/>
  <c r="L195" i="4"/>
  <c r="J10" i="1"/>
  <c r="O12" i="1"/>
  <c r="AL85" i="4"/>
  <c r="O16" i="1"/>
  <c r="E35" i="2"/>
  <c r="G35" i="2" s="1"/>
  <c r="E32" i="2"/>
  <c r="G32" i="2" s="1"/>
  <c r="I12" i="3"/>
  <c r="D48" i="2"/>
  <c r="E12" i="3"/>
  <c r="Y195" i="4"/>
  <c r="Y196" i="4" s="1"/>
  <c r="G36" i="2"/>
  <c r="D12" i="3"/>
  <c r="F12" i="2"/>
  <c r="G12" i="2"/>
  <c r="F30" i="2"/>
  <c r="F23" i="2"/>
  <c r="F8" i="2"/>
  <c r="G8" i="2"/>
  <c r="F19" i="2"/>
  <c r="G19" i="2"/>
  <c r="F14" i="2"/>
  <c r="F13" i="2"/>
  <c r="G14" i="2"/>
  <c r="P13" i="3"/>
  <c r="O10" i="1" l="1"/>
  <c r="O45" i="1" s="1"/>
  <c r="O9" i="1" s="1"/>
  <c r="AJ193" i="4"/>
  <c r="U192" i="4"/>
  <c r="AK45" i="4"/>
  <c r="AL45" i="4"/>
  <c r="J45" i="1"/>
  <c r="J43" i="1" s="1"/>
  <c r="C44" i="2"/>
  <c r="C48" i="2" s="1"/>
  <c r="G23" i="2"/>
  <c r="G30" i="2"/>
  <c r="G7" i="2"/>
  <c r="F7" i="2"/>
  <c r="G13" i="2"/>
  <c r="P10" i="1" l="1"/>
  <c r="AL192" i="4"/>
  <c r="AK193" i="4"/>
  <c r="AK192" i="4"/>
  <c r="AS45" i="4"/>
  <c r="F44" i="2"/>
  <c r="E44" i="2"/>
  <c r="P45" i="1" l="1"/>
  <c r="AS192" i="4"/>
  <c r="AU45" i="4"/>
  <c r="P9" i="1" l="1"/>
  <c r="AU192" i="4"/>
  <c r="AV45" i="4"/>
  <c r="AV192" i="4" s="1"/>
  <c r="AK195" i="4" l="1"/>
</calcChain>
</file>

<file path=xl/comments1.xml><?xml version="1.0" encoding="utf-8"?>
<comments xmlns="http://schemas.openxmlformats.org/spreadsheetml/2006/main">
  <authors>
    <author>tc={3A983F4A-7A9F-4A10-8733-CB1D92CAF3B3}</author>
  </authors>
  <commentList>
    <comment ref="W17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Gafilat cuota pleno 50K  FIBA 700, Edmon 5,186 todos montos USD</t>
        </r>
      </text>
    </comment>
  </commentList>
</comments>
</file>

<file path=xl/sharedStrings.xml><?xml version="1.0" encoding="utf-8"?>
<sst xmlns="http://schemas.openxmlformats.org/spreadsheetml/2006/main" count="1907" uniqueCount="664">
  <si>
    <t xml:space="preserve">ENERO </t>
  </si>
  <si>
    <t>CUENTA</t>
  </si>
  <si>
    <t>2.1.1</t>
  </si>
  <si>
    <t>NOMBRE Y CUENTA</t>
  </si>
  <si>
    <t>REMUNERACIONES Y CONTTRIBUCIONES</t>
  </si>
  <si>
    <t xml:space="preserve">Remuneraciones  </t>
  </si>
  <si>
    <t>2.1.2</t>
  </si>
  <si>
    <t>Sobresueldos</t>
  </si>
  <si>
    <t>2.1.3</t>
  </si>
  <si>
    <t>Gastos de representación</t>
  </si>
  <si>
    <t>2.1.4</t>
  </si>
  <si>
    <t>Gratifiacacion y pasantias</t>
  </si>
  <si>
    <t>2.1.5</t>
  </si>
  <si>
    <t>Contribuciones a la seguridad social</t>
  </si>
  <si>
    <t>CONTRATACIONES DE SERVICIOS</t>
  </si>
  <si>
    <t>2.2.1</t>
  </si>
  <si>
    <t>Servicios básicos</t>
  </si>
  <si>
    <t>2.2.2</t>
  </si>
  <si>
    <t>Publicidad,Impresión y Encuadernacion</t>
  </si>
  <si>
    <t>2.2.3</t>
  </si>
  <si>
    <t>Viaticos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</si>
  <si>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</si>
  <si>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</si>
  <si>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</si>
  <si>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</si>
  <si>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</si>
  <si>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</si>
  <si>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</si>
  <si>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 xml:space="preserve">Servicios de conservacion, Reparaciones menores e instalaciones temporales </t>
  </si>
  <si>
    <t>2.2.8</t>
  </si>
  <si>
    <t>Otros servicios no incluidos en Conceptos Anteriores</t>
  </si>
  <si>
    <t>2.2.9</t>
  </si>
  <si>
    <t>Otras Contrataciones de servicios</t>
  </si>
  <si>
    <t>MATERIALES  Y SUMINISTROS</t>
  </si>
  <si>
    <t>2.3.1</t>
  </si>
  <si>
    <t>Alimentos y Productos Agroforestales</t>
  </si>
  <si>
    <t>2.3.2</t>
  </si>
  <si>
    <t>Textiles y Vestuarios</t>
  </si>
  <si>
    <t>2.3.3</t>
  </si>
  <si>
    <t>Productos de papel, Carton e Impresos</t>
  </si>
  <si>
    <t>2.3.4</t>
  </si>
  <si>
    <t>Productos Farmaceuticos</t>
  </si>
  <si>
    <t>2.3.5</t>
  </si>
  <si>
    <t>Productos de Cuero, Caucho y Plastico</t>
  </si>
  <si>
    <t>2.3.6</t>
  </si>
  <si>
    <t>Productos de Minerales,Metalicos y no metalicos</t>
  </si>
  <si>
    <t>2.3.7</t>
  </si>
  <si>
    <t>Combustibles, Lubricantes, Productos Quimicos y Conexos</t>
  </si>
  <si>
    <t>2.3.9</t>
  </si>
  <si>
    <t>Producto utiles varios</t>
  </si>
  <si>
    <t>TRANSFERENCIA CORRIENTES</t>
  </si>
  <si>
    <t>2.4.1</t>
  </si>
  <si>
    <t>Transferencias Corrientes al Sector Privado</t>
  </si>
  <si>
    <t>2.4.7</t>
  </si>
  <si>
    <t>Transferencias Corriente al SectoR Externo</t>
  </si>
  <si>
    <t>BIENES MUEBLES , INMUEBLES E INTANGIBLES</t>
  </si>
  <si>
    <t>2.6.1</t>
  </si>
  <si>
    <t>Mobiliario y Equipo</t>
  </si>
  <si>
    <t>2.6.5</t>
  </si>
  <si>
    <t>Maquinaria, otros equipos y Herramientas</t>
  </si>
  <si>
    <t>2.6.8</t>
  </si>
  <si>
    <t>Bienes Intamgibles</t>
  </si>
  <si>
    <t>TOTAL</t>
  </si>
  <si>
    <t>FEBRERO</t>
  </si>
  <si>
    <t>Presupuestado Vs Ejecutado</t>
  </si>
  <si>
    <t>Año 2021</t>
  </si>
  <si>
    <t>ENERO</t>
  </si>
  <si>
    <t>UNIDAD  DE  ANALISIS  FINANCIERO</t>
  </si>
  <si>
    <t>DEPARTAMENTO  ADMINISTRATIVO Y FINANCIERO</t>
  </si>
  <si>
    <t>PROGRAMACION  ANUAL  REMUNERACIONES Y SEGURIDAD SOCIAL</t>
  </si>
  <si>
    <t>CORRESPONDIENTE A LOS MESES DE  ENERO A  DICIEMBRE 2020</t>
  </si>
  <si>
    <t>TOTAL GENERAL</t>
  </si>
  <si>
    <t>DESCRIPCION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</si>
  <si>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</si>
  <si>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</si>
  <si>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</si>
  <si>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</si>
  <si>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</si>
  <si>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</si>
  <si>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</si>
  <si>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</si>
  <si>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</si>
  <si>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</si>
  <si>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</si>
  <si>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REMUNERACIONES Y CONTRIBUCIONES</t>
  </si>
  <si>
    <t>REMUNERACIONES</t>
  </si>
  <si>
    <t>2.1.1.1</t>
  </si>
  <si>
    <t>Remuneraciones al personal fijo</t>
  </si>
  <si>
    <t>2.1.1.1.01</t>
  </si>
  <si>
    <t>Sueldos Fijos</t>
  </si>
  <si>
    <t>2.1.1.2</t>
  </si>
  <si>
    <t>Remuneraciones al personal con carácter transitorio</t>
  </si>
  <si>
    <t>2.1.1.2.01</t>
  </si>
  <si>
    <t>Personal Igualado</t>
  </si>
  <si>
    <t>2.1.1.2.03</t>
  </si>
  <si>
    <t>Suplencias</t>
  </si>
  <si>
    <t>2.1.1.2.05</t>
  </si>
  <si>
    <t>Sueldos al Personal Periodo Probatorio</t>
  </si>
  <si>
    <t>2.1.1.2.08</t>
  </si>
  <si>
    <t>Sueldos al Personal Contratado e Igualado - 2019</t>
  </si>
  <si>
    <t>2.1.1.3</t>
  </si>
  <si>
    <t xml:space="preserve">Sueldos a personal fijo en tramites de pensiones </t>
  </si>
  <si>
    <t>2.1.1.3.01</t>
  </si>
  <si>
    <t>2.1.1.4</t>
  </si>
  <si>
    <t>Sueldo anual No.13</t>
  </si>
  <si>
    <t>2.1.1.4.01</t>
  </si>
  <si>
    <t>Salario No. 13</t>
  </si>
  <si>
    <t>2.1.1.5</t>
  </si>
  <si>
    <t>Prestaciones económicas</t>
  </si>
  <si>
    <t>2.1.1.5.04</t>
  </si>
  <si>
    <t>Proporción de vacaciones no disfrutadas</t>
  </si>
  <si>
    <t>COMPENSACION SERVICIOS DE SEGURIDAD</t>
  </si>
  <si>
    <t>2.1.2.2</t>
  </si>
  <si>
    <t xml:space="preserve">Compensación </t>
  </si>
  <si>
    <t>2.1.2.2.05</t>
  </si>
  <si>
    <t>Compensacion Servicios de Seguridad</t>
  </si>
  <si>
    <t>2.1.2.2.10</t>
  </si>
  <si>
    <t>Compensacion por cumplimiento de indicadores del MAP</t>
  </si>
  <si>
    <t>DIETAS Y GASTOS DE REPRESENTACION</t>
  </si>
  <si>
    <t>2.1.3.2</t>
  </si>
  <si>
    <t xml:space="preserve">Gastos de representacion   </t>
  </si>
  <si>
    <t>2.1.3.2.01</t>
  </si>
  <si>
    <t>Gastos de representacion en el pais</t>
  </si>
  <si>
    <t>GRATIFICACIONES Y BONIFICACIONES</t>
  </si>
  <si>
    <t>2.1.4.2.02</t>
  </si>
  <si>
    <t>Gratificaciones por Pasantías</t>
  </si>
  <si>
    <t>CONTRIBUCIONES A LA SEGURIDAD SOCIAL</t>
  </si>
  <si>
    <t>2.1.5.1</t>
  </si>
  <si>
    <t xml:space="preserve">Contribuciones al Seguro de Salud </t>
  </si>
  <si>
    <t>2.1.5.1.01</t>
  </si>
  <si>
    <t>Contribuciones al Seguro de Salud</t>
  </si>
  <si>
    <t>2.1.5.2</t>
  </si>
  <si>
    <t>Contribuciones al Seguro de Pensiones</t>
  </si>
  <si>
    <t>2.1.5.2.01</t>
  </si>
  <si>
    <t>2.1.5.3</t>
  </si>
  <si>
    <t>Contribuciones al Seguroo de Riesgo Laboral</t>
  </si>
  <si>
    <t>2.1.5.3.01</t>
  </si>
  <si>
    <t>Contribuciones al Seguro de Riesgo Laboral</t>
  </si>
  <si>
    <t>CONTRATACION DE SERVICIOS</t>
  </si>
  <si>
    <t>SERVICIOS BÁSICOS</t>
  </si>
  <si>
    <t>2.2.1.2</t>
  </si>
  <si>
    <t>Servicios Telefonicos Larga Distancia</t>
  </si>
  <si>
    <t>2.2.1.2.01</t>
  </si>
  <si>
    <t>Servicio Telefónico de Larga Distancia</t>
  </si>
  <si>
    <t>2.2.1.3</t>
  </si>
  <si>
    <t>Telefono Local</t>
  </si>
  <si>
    <t>2.2.1.3.01</t>
  </si>
  <si>
    <t>Teléfono Local</t>
  </si>
  <si>
    <t>2.2.1.5</t>
  </si>
  <si>
    <t>Servicio de Internet y Televisión por Cable</t>
  </si>
  <si>
    <t>2.2.1.5.01</t>
  </si>
  <si>
    <t>2.2.1.6</t>
  </si>
  <si>
    <t>Electricidad</t>
  </si>
  <si>
    <t>2.2.1.6.01</t>
  </si>
  <si>
    <t>Energia Eléctrica</t>
  </si>
  <si>
    <t>2.2.1.7</t>
  </si>
  <si>
    <t>Agua</t>
  </si>
  <si>
    <t>2.2.1.7.01</t>
  </si>
  <si>
    <t>2.2.1.8</t>
  </si>
  <si>
    <t>Recoleccion de Residuos</t>
  </si>
  <si>
    <t>2.2.1.8.01</t>
  </si>
  <si>
    <t>PUBLICIDAD, IMPRESIÓN Y ENCUADERNACION</t>
  </si>
  <si>
    <t>2.2.2.1</t>
  </si>
  <si>
    <t>Publicidad y Propaganda</t>
  </si>
  <si>
    <t>2.2.2.1.01</t>
  </si>
  <si>
    <t>2.2.2.2</t>
  </si>
  <si>
    <t xml:space="preserve">Impresión, Encuadernacion y rotulacion </t>
  </si>
  <si>
    <t>2.2.2.2.01</t>
  </si>
  <si>
    <t>VIATICOS</t>
  </si>
  <si>
    <t>2.2.3.1</t>
  </si>
  <si>
    <t xml:space="preserve">Viaticos dentro del pais </t>
  </si>
  <si>
    <t>2.2.3.1.01</t>
  </si>
  <si>
    <t>2.2.3.2</t>
  </si>
  <si>
    <t>Viaticos fuera del pais</t>
  </si>
  <si>
    <t>2.2.3.2.01</t>
  </si>
  <si>
    <t>TRANSPORTE Y ALMACENAJE</t>
  </si>
  <si>
    <t>2.2.4.1</t>
  </si>
  <si>
    <t>Pasajes y gastos de transporte</t>
  </si>
  <si>
    <t>2.2.4.1.01</t>
  </si>
  <si>
    <t>2.2.4.4</t>
  </si>
  <si>
    <t>Peaje</t>
  </si>
  <si>
    <t>2.2.4.4.01</t>
  </si>
  <si>
    <t>ALQUILERES Y RENTA</t>
  </si>
  <si>
    <t>2.2.5.3</t>
  </si>
  <si>
    <t>Alquileres de maquinarias y equipos</t>
  </si>
  <si>
    <t>2.2.5.3.04</t>
  </si>
  <si>
    <t>Alquiler de equipo de oficina y muebles</t>
  </si>
  <si>
    <t>2.2.5.8</t>
  </si>
  <si>
    <t>Otro alquileres y arrendamientos por derecho de usos</t>
  </si>
  <si>
    <t>2.2.5.8.01</t>
  </si>
  <si>
    <t xml:space="preserve">SEGUROS </t>
  </si>
  <si>
    <t>2.2.6.2</t>
  </si>
  <si>
    <t xml:space="preserve">Seguros de bienes Muebles </t>
  </si>
  <si>
    <t>2.2.6.2.01</t>
  </si>
  <si>
    <t>Seguros de Bienes Muebles</t>
  </si>
  <si>
    <t>2.2.6.3</t>
  </si>
  <si>
    <t>Seguros de Personas</t>
  </si>
  <si>
    <t>2.2.6.3.01</t>
  </si>
  <si>
    <t>SERVICIOS DE CONSERVACION, REPARACIONES MENORES E INSTALACIONES TEMPORALES</t>
  </si>
  <si>
    <t>2.2.7.2</t>
  </si>
  <si>
    <t xml:space="preserve">Mantenimiento y Reparacion de maquinarias y equipos </t>
  </si>
  <si>
    <t>2.2.7.2.01</t>
  </si>
  <si>
    <t xml:space="preserve">Mantenimiento y Reparacion de  maquinarias y equipos </t>
  </si>
  <si>
    <t>2.2.7.2.06</t>
  </si>
  <si>
    <t xml:space="preserve">Mantenimiento y Reparacion de  equipos de transporte, traccion y elevacion </t>
  </si>
  <si>
    <t>2.2.7.2.08</t>
  </si>
  <si>
    <t>Servicios de mantenimiento, reparacion, desmonte e instalacion</t>
  </si>
  <si>
    <t>OTROS SERVICIOS NO INCLUIDOS EN CONCEPTOS ANTERIORES</t>
  </si>
  <si>
    <t>2.2.8.3.</t>
  </si>
  <si>
    <t>Servicios sanitarios medicos y veterinarios</t>
  </si>
  <si>
    <t>2.2.8.3.01</t>
  </si>
  <si>
    <t>2.2.8.5</t>
  </si>
  <si>
    <t xml:space="preserve">Fumigacion, Lavanderia, Limpieza e Higiene </t>
  </si>
  <si>
    <t>2.2.8.5.03</t>
  </si>
  <si>
    <t>Limpieza e Higiene</t>
  </si>
  <si>
    <t>2.2.8.6</t>
  </si>
  <si>
    <t>Servicio de organización de eventos, festividades y actividades de entret.</t>
  </si>
  <si>
    <t>2.2.8.6.01</t>
  </si>
  <si>
    <t>Eventos generales</t>
  </si>
  <si>
    <t>2.2.8.7</t>
  </si>
  <si>
    <t>Servicios Tecnicos y Profesionales</t>
  </si>
  <si>
    <t>2.2.8.7.01</t>
  </si>
  <si>
    <t>Servicios de ingenieria, arquitectura, investigaciones y analisis de facub</t>
  </si>
  <si>
    <t>2.2.8.7.02</t>
  </si>
  <si>
    <t>Servicios Juridico</t>
  </si>
  <si>
    <t>2.2.8.7.04</t>
  </si>
  <si>
    <t xml:space="preserve">Servicios de Capacitacion </t>
  </si>
  <si>
    <t>2.2.8.7.06</t>
  </si>
  <si>
    <t>Otros servicios tecnicos profesionales</t>
  </si>
  <si>
    <t>2.2.8.8</t>
  </si>
  <si>
    <t>Impuestos, derechos y tasas</t>
  </si>
  <si>
    <t>2.2.8.8.01</t>
  </si>
  <si>
    <t>Impuestos</t>
  </si>
  <si>
    <t>OTRAS CONTRATACIONES DE SERVICIOS</t>
  </si>
  <si>
    <t>2.2.9.1</t>
  </si>
  <si>
    <t>Otras contratataciones de servicios</t>
  </si>
  <si>
    <t>2.2.9.1.01</t>
  </si>
  <si>
    <t>2.2.9.2</t>
  </si>
  <si>
    <t xml:space="preserve">Servicios de Alimentacion </t>
  </si>
  <si>
    <t>2.2.9.2.01</t>
  </si>
  <si>
    <t>MATERIALES Y SUMINISTROS</t>
  </si>
  <si>
    <t>ALIMENTOS Y PRODUCTOS AGROFORESTALES</t>
  </si>
  <si>
    <t>2.3.1.1</t>
  </si>
  <si>
    <t>Alimentos y Bebidas para personas</t>
  </si>
  <si>
    <t>2.3.1.1.01</t>
  </si>
  <si>
    <t>2.3.1.3</t>
  </si>
  <si>
    <t>Productos agroforestales y pecuarios</t>
  </si>
  <si>
    <t>2.3.1.3.03</t>
  </si>
  <si>
    <t>Productos forestales</t>
  </si>
  <si>
    <t>TEXTILES Y VESTUARIOS</t>
  </si>
  <si>
    <t>2.3.2.2</t>
  </si>
  <si>
    <t>Acabados textiles</t>
  </si>
  <si>
    <t>2.3.2.2.01</t>
  </si>
  <si>
    <t>2.3.2.3</t>
  </si>
  <si>
    <t>Prendas y accesorios de vestir</t>
  </si>
  <si>
    <t>2.3.2.3.01</t>
  </si>
  <si>
    <t>PRODUCTOS DE PAPEL , CARTON E IMPRESOS</t>
  </si>
  <si>
    <t>2.3.3.1</t>
  </si>
  <si>
    <t>Papel de escritorio</t>
  </si>
  <si>
    <t>2.3.3.2</t>
  </si>
  <si>
    <t xml:space="preserve">Productos de papel y carton </t>
  </si>
  <si>
    <t>2.3.3.2.01</t>
  </si>
  <si>
    <t>2.3.3.3</t>
  </si>
  <si>
    <t>Productos de artes graficas</t>
  </si>
  <si>
    <t>2.3.3.3.01</t>
  </si>
  <si>
    <t>2.3.3.4</t>
  </si>
  <si>
    <t>Libros, Revistas y periodicos</t>
  </si>
  <si>
    <t>2.3.3.4.01</t>
  </si>
  <si>
    <t>PRODUCTOS DE CUERO, CAUCHO Y PLASTICOS</t>
  </si>
  <si>
    <t>2.3.5.3</t>
  </si>
  <si>
    <t>Llantas y neumaticos</t>
  </si>
  <si>
    <t>2.3.5.3.01</t>
  </si>
  <si>
    <t>2.3.5.5</t>
  </si>
  <si>
    <t>Articulos de plásticos</t>
  </si>
  <si>
    <t>2.3.5.5.01</t>
  </si>
  <si>
    <t>PRODUCTOS DE MATERIALES, METALICOS / NO METALICOS</t>
  </si>
  <si>
    <t>2.3.6.3</t>
  </si>
  <si>
    <t>Productos metalicos y sus derivados</t>
  </si>
  <si>
    <t>2.3.6.3.04</t>
  </si>
  <si>
    <t>Herramientas menores</t>
  </si>
  <si>
    <t>2.3.3.3.06</t>
  </si>
  <si>
    <t>Accesorios de metal</t>
  </si>
  <si>
    <t>COMBUSTIBLE, LUBRICANTES, PRODUCTOS QUIMICOS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</si>
  <si>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</si>
  <si>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</si>
  <si>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</si>
  <si>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</si>
  <si>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</si>
  <si>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</si>
  <si>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2.3.7.1.06</t>
  </si>
  <si>
    <t>Lubricantes</t>
  </si>
  <si>
    <t>2.3.7.2</t>
  </si>
  <si>
    <t xml:space="preserve"> Productos Químicos y Conexos</t>
  </si>
  <si>
    <t>2.3.7.2.03</t>
  </si>
  <si>
    <t>Productos quimicos de laboratorio y de uso personal</t>
  </si>
  <si>
    <t>2.3.7.2.05</t>
  </si>
  <si>
    <t>Insecticidas, fumigantes y otros</t>
  </si>
  <si>
    <t>2.3.7.2.99</t>
  </si>
  <si>
    <t>Otros productos quimicos y conexos</t>
  </si>
  <si>
    <t>PRODUCTOS Y UTILES VARIOS</t>
  </si>
  <si>
    <t>2.3.9.1</t>
  </si>
  <si>
    <t>Material para limpieza</t>
  </si>
  <si>
    <t>2.3.9.1.01</t>
  </si>
  <si>
    <t>2.3.9.2</t>
  </si>
  <si>
    <t>Utiles de escritorio, oficina, informatica, escolares y de enseñanza</t>
  </si>
  <si>
    <t>2.3.9.2.01</t>
  </si>
  <si>
    <t>2.3.9.3</t>
  </si>
  <si>
    <t>Utiles menores medico quirurgico y de laboratorio</t>
  </si>
  <si>
    <t>2.3.9.3.01</t>
  </si>
  <si>
    <t>2.3.9.5</t>
  </si>
  <si>
    <t>Utiles de cocina y comedor</t>
  </si>
  <si>
    <t>2.3.9.5.01</t>
  </si>
  <si>
    <t>2.3.9.6</t>
  </si>
  <si>
    <t>Productos electricos y afines</t>
  </si>
  <si>
    <t>2.3.9.6.01</t>
  </si>
  <si>
    <t>2.3.9.8</t>
  </si>
  <si>
    <t>Respuestos y accesorios menores</t>
  </si>
  <si>
    <t>2.3.9.8.01</t>
  </si>
  <si>
    <t>Repuestos</t>
  </si>
  <si>
    <t>2.3.9.9</t>
  </si>
  <si>
    <t>Productos y utiles no identificados procedentemente</t>
  </si>
  <si>
    <t>2.3.9.9.01</t>
  </si>
  <si>
    <t>Productos y utiles varios</t>
  </si>
  <si>
    <t>2.3.9.9.02</t>
  </si>
  <si>
    <t>Bonos para utiles diversos</t>
  </si>
  <si>
    <t>TRANSFERENCIAS CORRIENTES</t>
  </si>
  <si>
    <t>TRANSFERENCIAS CORRIENTES AL SECTOR PRIVADO</t>
  </si>
  <si>
    <t>2.4.1.2</t>
  </si>
  <si>
    <t>Ayuda y donacion a personas</t>
  </si>
  <si>
    <t>2.4.1.2.02</t>
  </si>
  <si>
    <t>Ayuda y donaciones ocasionales a hogares y personas</t>
  </si>
  <si>
    <t>TRANSFERENCIAS CORRIENTES AL SECTOR EXTERNO</t>
  </si>
  <si>
    <t>2.4.7.2</t>
  </si>
  <si>
    <t>Transferencia corrientes a organismos internacionales</t>
  </si>
  <si>
    <t>2.4.7.2.01</t>
  </si>
  <si>
    <t>2.4.7.3</t>
  </si>
  <si>
    <t>Transferencias corrientes al sector privado externo</t>
  </si>
  <si>
    <t>2.4.7.3.01</t>
  </si>
  <si>
    <t>BIENES , MUEBLES, INMUEBLES E INTANGIBLES</t>
  </si>
  <si>
    <t>MOBILIARIO Y EQUIPO</t>
  </si>
  <si>
    <t>2.6.1.1</t>
  </si>
  <si>
    <t>Muebles y equipos de oficina y estanderia</t>
  </si>
  <si>
    <t>2.6.1.1.01</t>
  </si>
  <si>
    <t>2.6.1.3</t>
  </si>
  <si>
    <t>Equipos de tecnologia de la informacion y comunicación</t>
  </si>
  <si>
    <t>2.6.1.3.01</t>
  </si>
  <si>
    <t>2.6.1.4</t>
  </si>
  <si>
    <t>Electrodomesticos</t>
  </si>
  <si>
    <t>2.6.1.4.01</t>
  </si>
  <si>
    <t>2.6.2</t>
  </si>
  <si>
    <t>2.6.2.1</t>
  </si>
  <si>
    <t>Equipos y aparatos Audiovisuales</t>
  </si>
  <si>
    <t>2.6.2.1.01</t>
  </si>
  <si>
    <t>2.6.2.3</t>
  </si>
  <si>
    <t>Camara fotografica y de video</t>
  </si>
  <si>
    <t>2.6.2.3.01</t>
  </si>
  <si>
    <t>2.6.3</t>
  </si>
  <si>
    <t xml:space="preserve">EQUIPO E INSTRUMENTAL, CIENTIFICO Y LABORATORIO </t>
  </si>
  <si>
    <t>2.6.3.2</t>
  </si>
  <si>
    <t>Instrumental medico y de laboratio</t>
  </si>
  <si>
    <t>2.6.3.2.01</t>
  </si>
  <si>
    <t>MAQUINARIA, OTROS EQUIPOA Y HERRAMIENTAS</t>
  </si>
  <si>
    <t>2.6.5.4</t>
  </si>
  <si>
    <t>Sistemas  y equipo de aire acondicionado, calefaccion y refigeracion Indus</t>
  </si>
  <si>
    <t>2.6.5.4.01</t>
  </si>
  <si>
    <t>2.6.5.6</t>
  </si>
  <si>
    <t xml:space="preserve">Equipo de generacion electrica </t>
  </si>
  <si>
    <t>2.6.5.6.01</t>
  </si>
  <si>
    <t>BIENES INTANGIBLES</t>
  </si>
  <si>
    <t>2.6.8.8</t>
  </si>
  <si>
    <t>Licencias Informaticas e intelectuales, industriales y comerciales</t>
  </si>
  <si>
    <t>2.6.8.8.01</t>
  </si>
  <si>
    <t>Licencias Informaticas</t>
  </si>
  <si>
    <t>2.6.9</t>
  </si>
  <si>
    <t>EDIFICIOS, ESTRUCTURAS, TIERRAS, TERRENOS Y OBJETOS DE VALOR</t>
  </si>
  <si>
    <t>2.6.9.2</t>
  </si>
  <si>
    <t>Edificios no residenciales</t>
  </si>
  <si>
    <t>2.6.9.2.01</t>
  </si>
  <si>
    <t>OBRAS</t>
  </si>
  <si>
    <t>2.7.1</t>
  </si>
  <si>
    <t>OBRAS EN EDIFICACIONES</t>
  </si>
  <si>
    <t>2.7.1.2</t>
  </si>
  <si>
    <t>Obras para edificacion  no residencial</t>
  </si>
  <si>
    <t>2.7.1.2.01</t>
  </si>
  <si>
    <t>2.7.1.5</t>
  </si>
  <si>
    <t xml:space="preserve">Supervicion e Inspeccion de obras en edificacion </t>
  </si>
  <si>
    <t>2.7.1.5.01</t>
  </si>
  <si>
    <t>Bienes Intangibles</t>
  </si>
  <si>
    <t>MOBILIARIO Y EQUIPO AUDIOVISUAL, RECREATIVO Y EDUCACIONAL</t>
  </si>
  <si>
    <t>UNIDAD DE ANALISIS FINANCIERO</t>
  </si>
  <si>
    <t>DEPARTAMENTO ADMINISTRATIVO Y FINANCIERO</t>
  </si>
  <si>
    <t>PRESUPUESTO AÑO 2021</t>
  </si>
  <si>
    <t>CTA. NO.</t>
  </si>
  <si>
    <t>NOMBRE CUENTA</t>
  </si>
  <si>
    <t>PROD. 01</t>
  </si>
  <si>
    <t>Nómina Personal Fijo DG</t>
  </si>
  <si>
    <t>PROD. 02</t>
  </si>
  <si>
    <t>Nómina Personal Fijo Análisis</t>
  </si>
  <si>
    <t>PROD. 03</t>
  </si>
  <si>
    <t>Nomina Personal Coordinación</t>
  </si>
  <si>
    <t>Nómina  al Personal Nominal Periodo Probatorio - Concurso</t>
  </si>
  <si>
    <t xml:space="preserve">Sueldos al Personal Contratado </t>
  </si>
  <si>
    <t>Compensación Servicios de Seguridad</t>
  </si>
  <si>
    <t>Sueldo al Personal Fijo en Trámite de Pensión</t>
  </si>
  <si>
    <t>Nómina Trámite de Pensión</t>
  </si>
  <si>
    <t>Sueldo Anual No. 13 - Regalia Pascual</t>
  </si>
  <si>
    <t>Sueldo No. 13 Personal Fijo DG</t>
  </si>
  <si>
    <t>Sueldo No. 13 Personal  Análisis</t>
  </si>
  <si>
    <t>Sueldo No. 13 Personal Coordinación</t>
  </si>
  <si>
    <t>Proporcion Vacaciones No Disfrutadas</t>
  </si>
  <si>
    <t>2.1.2.2.06</t>
  </si>
  <si>
    <t>Compensación por Resultado</t>
  </si>
  <si>
    <t>Compensación Cumplimiento Indicadores del MAP</t>
  </si>
  <si>
    <t xml:space="preserve">Nómina Acuerdo Desempeño Personal Fijo </t>
  </si>
  <si>
    <t>Nómina Acuerdo Desempeño Personal Fijo Análisis</t>
  </si>
  <si>
    <t>Nomina Acuerdo Desempeño Coordinación</t>
  </si>
  <si>
    <t>2.1.2.2.15</t>
  </si>
  <si>
    <t>Horas Extraordinarias de Fin de Año Personal Fijo</t>
  </si>
  <si>
    <t xml:space="preserve">Nómina Extraord.Personal Fijo </t>
  </si>
  <si>
    <t>Nómina Extraord.  Fijo Análisis</t>
  </si>
  <si>
    <t>Nomina Extraord. Coordinación</t>
  </si>
  <si>
    <t>Gastos de Representación</t>
  </si>
  <si>
    <t>Gratificaciones Pasantías</t>
  </si>
  <si>
    <t>Servicios Telefónico de Larga Distancia</t>
  </si>
  <si>
    <t>Servicio de Internet y Televisión Por Cable</t>
  </si>
  <si>
    <t>Energía Eléctrica</t>
  </si>
  <si>
    <t>Recolección de Residuos</t>
  </si>
  <si>
    <t>Publicidad DG</t>
  </si>
  <si>
    <t>Imprenta y Comunicaciones Coordinación</t>
  </si>
  <si>
    <t>Impresión y Encuadernación</t>
  </si>
  <si>
    <t>Imprenta y Publicaciones DG</t>
  </si>
  <si>
    <t>Imprenta y Publicaciones Análisis</t>
  </si>
  <si>
    <t>Imprenta y Publicaciones Coordinación</t>
  </si>
  <si>
    <t>Viaticos y Hospedaje Fuera del Pais</t>
  </si>
  <si>
    <t>Viaticos Fuera del País DG</t>
  </si>
  <si>
    <t>Viaticos Fuera del País oordinación</t>
  </si>
  <si>
    <t>Viaticos y Hospedaje  Dentro del Pais</t>
  </si>
  <si>
    <t>Alquiler Equipos Oficina</t>
  </si>
  <si>
    <t>Pasajes y Gastos de Transporte</t>
  </si>
  <si>
    <t>Boletos Aéreos, Fines de Semana,  Mudanza Data Center a edificio Nuevo DG</t>
  </si>
  <si>
    <t>Agencia de Viajes Coordinación</t>
  </si>
  <si>
    <t>Peaje Y Gastos Transporte</t>
  </si>
  <si>
    <t>Otros Alquileres</t>
  </si>
  <si>
    <t>Instalaciones hoteleras, alojamientos y centros de encuentros DG</t>
  </si>
  <si>
    <t>Alquiler de Salones</t>
  </si>
  <si>
    <t>Seguros de Bienes Muebles / Vehiculos</t>
  </si>
  <si>
    <t>Seguros de Personas /Empleados</t>
  </si>
  <si>
    <t>Seguros de Personas /Directora</t>
  </si>
  <si>
    <t>Mantenimiento y Rep. Equipo Transporte</t>
  </si>
  <si>
    <t>Mantenimiento y Reparación de Muebles y Equipos de Oficina</t>
  </si>
  <si>
    <t>2.2.7.1.02</t>
  </si>
  <si>
    <t>Servicios Especiales de Mantenimiento y Reparación</t>
  </si>
  <si>
    <t>Eventos Generales</t>
  </si>
  <si>
    <t>Contratación de empresas para actividades DG</t>
  </si>
  <si>
    <t>Contratación de empresas para actividades Coordinación</t>
  </si>
  <si>
    <t>Servicios Juridicos</t>
  </si>
  <si>
    <t>Servicios de Capacitación</t>
  </si>
  <si>
    <t>Capacitación DG</t>
  </si>
  <si>
    <t>Otros Servicios Tec. Profesionales</t>
  </si>
  <si>
    <t>Relaciones Públicas, Contratación DG</t>
  </si>
  <si>
    <t>Relaciones Públicas, Servicios de Gestión Coordinación</t>
  </si>
  <si>
    <t>Servicios de Alimentación</t>
  </si>
  <si>
    <t>Refrigerios DG</t>
  </si>
  <si>
    <t>Establecimientos para comer y beber Coordinación</t>
  </si>
  <si>
    <t>Alimentos y Bebidas Para Personas</t>
  </si>
  <si>
    <t>Alimentos y Bebidas DG</t>
  </si>
  <si>
    <t>Alimentos y Bebidas Coordinación</t>
  </si>
  <si>
    <t>Productos Forestales</t>
  </si>
  <si>
    <t>Floristería DG</t>
  </si>
  <si>
    <t>Acabados Textiles</t>
  </si>
  <si>
    <t>Textil Indumentario DG</t>
  </si>
  <si>
    <t>Prendas y Accesorios de Vestir</t>
  </si>
  <si>
    <t>Uniformes DG</t>
  </si>
  <si>
    <t>2.3.2.4.01</t>
  </si>
  <si>
    <t>Calzados - Seguridad</t>
  </si>
  <si>
    <t>2.3.3.1.01</t>
  </si>
  <si>
    <t>Papel de Escritorio</t>
  </si>
  <si>
    <t>Productos de Papel y Cartón</t>
  </si>
  <si>
    <t>Revistas y Periódicos</t>
  </si>
  <si>
    <t>2.3.4.1.01</t>
  </si>
  <si>
    <t>Productos Medicinales Uso Humano</t>
  </si>
  <si>
    <t>Medicamentos para Botiquín DG</t>
  </si>
  <si>
    <t>Llantas y Neumáticos</t>
  </si>
  <si>
    <t>2.3.5.4.01</t>
  </si>
  <si>
    <t>Articulos de Caucho</t>
  </si>
  <si>
    <t>Articulos de Plástico</t>
  </si>
  <si>
    <t>Herramientas Menores</t>
  </si>
  <si>
    <t>Materiales Ferreteros DG</t>
  </si>
  <si>
    <t>2.3.6.3.06</t>
  </si>
  <si>
    <t>Accesorios de Metal</t>
  </si>
  <si>
    <t>Accesorios de Metal DG</t>
  </si>
  <si>
    <t xml:space="preserve">Combustible  Personal Fijo DG </t>
  </si>
  <si>
    <t>Combustible Personal  Análisis</t>
  </si>
  <si>
    <t>Combustible Personal Coordinación</t>
  </si>
  <si>
    <t>Otros Productos Quimicos y Conexos</t>
  </si>
  <si>
    <t>Material Para Limpieza</t>
  </si>
  <si>
    <t>Materiales de Aseo y Limpieza DG</t>
  </si>
  <si>
    <t>Utiles de Escritorio, Oficina Informática y de Enseñanza</t>
  </si>
  <si>
    <t>Materiales de Oficina DG</t>
  </si>
  <si>
    <t>Suministro de Oficina Análisis</t>
  </si>
  <si>
    <t>Suministro de Oficina Coordinación</t>
  </si>
  <si>
    <t>Utiles de Cocina y Comedor</t>
  </si>
  <si>
    <t xml:space="preserve">Artículos de Cocina </t>
  </si>
  <si>
    <t>Productos Eléctricos y Afines</t>
  </si>
  <si>
    <t>Herramientas Eléctricas DG</t>
  </si>
  <si>
    <t>Bonos Para Madres, Padres Navidad y Escolares</t>
  </si>
  <si>
    <t>Bonos DG</t>
  </si>
  <si>
    <t>Bonos Análisis</t>
  </si>
  <si>
    <t>Bonos Coordinación</t>
  </si>
  <si>
    <t>Ayudas y Donaciones Programadas a Personas</t>
  </si>
  <si>
    <t>Transferencias Corrientes a Organismos Intern. GAFILAT, goAML y Edmon</t>
  </si>
  <si>
    <t>Transferencias Corrientes al Sector Privado Externo</t>
  </si>
  <si>
    <t>Muebles de Oficina y Estantería</t>
  </si>
  <si>
    <t xml:space="preserve">Muebles, mobiliario y decoración </t>
  </si>
  <si>
    <t>Equipo de Tecnología y Comunicación</t>
  </si>
  <si>
    <t>Equipos Informáticos y Accesorios DG</t>
  </si>
  <si>
    <t>Electrodomésticos</t>
  </si>
  <si>
    <t>Electrodomésticos DG</t>
  </si>
  <si>
    <t>2.6.5.5.01</t>
  </si>
  <si>
    <t>Equipo de Comunc. Y Señalamiento</t>
  </si>
  <si>
    <t>Equipos de Audio y Video, de redes multimedias o de voz y datos DG</t>
  </si>
  <si>
    <t>2.6.8.3.01</t>
  </si>
  <si>
    <t>Programas de Informáticas</t>
  </si>
  <si>
    <t>Informática Software DG</t>
  </si>
  <si>
    <t>Total General</t>
  </si>
  <si>
    <t>Fecha</t>
  </si>
  <si>
    <t>Prueba Zero</t>
  </si>
  <si>
    <t>2.1.1.2.09</t>
  </si>
  <si>
    <t>Personal de Carácter eventual</t>
  </si>
  <si>
    <t>2.2.5.1</t>
  </si>
  <si>
    <t>2.2.5.1.01</t>
  </si>
  <si>
    <t>Alquileres y rentas de edificaciones y locales</t>
  </si>
  <si>
    <t>Variación (C=A-B)</t>
  </si>
  <si>
    <t>% de Variac Ejecución (D=B/A)</t>
  </si>
  <si>
    <t>A</t>
  </si>
  <si>
    <t>B</t>
  </si>
  <si>
    <t>C</t>
  </si>
  <si>
    <t>D</t>
  </si>
  <si>
    <t>EJECUTADO</t>
  </si>
  <si>
    <t>2.1.1.2.11</t>
  </si>
  <si>
    <t>Sueldo temporal a personal fijo en cargos de carrera</t>
  </si>
  <si>
    <t>2.2.5.9</t>
  </si>
  <si>
    <t>2.2.5.9.01</t>
  </si>
  <si>
    <t>Derecho de Uso</t>
  </si>
  <si>
    <t xml:space="preserve">Licencias Informática </t>
  </si>
  <si>
    <t>EJECUTADO AÑO 2021</t>
  </si>
  <si>
    <t>Alquileres y Rentas de Edificaciones y Locales</t>
  </si>
  <si>
    <t>Utiles menores quirúrgico y Laboratorio</t>
  </si>
  <si>
    <t>Nómina Personal Contratado DG</t>
  </si>
  <si>
    <t>Nómina Personal Probatorio DG</t>
  </si>
  <si>
    <t>Nómina Personal Adicional DG</t>
  </si>
  <si>
    <t>Nómina Personal Contratado Análisis</t>
  </si>
  <si>
    <t>Nómina Personal Probatorio Análisis</t>
  </si>
  <si>
    <t>Nómina Personal Adicional Análisis</t>
  </si>
  <si>
    <t>PROD. 04</t>
  </si>
  <si>
    <t>PROD. 05</t>
  </si>
  <si>
    <t>Nómina Personal Contratado Adicional</t>
  </si>
  <si>
    <t>Nómina Personal Suplencia</t>
  </si>
  <si>
    <t>Nómina Personal Fijo adicional</t>
  </si>
  <si>
    <t>2.1.2.2.09</t>
  </si>
  <si>
    <t>Bono por Desempeño a servidores de carrera</t>
  </si>
  <si>
    <t>2.3.2.4</t>
  </si>
  <si>
    <t>Calzados</t>
  </si>
  <si>
    <t xml:space="preserve">2.3.4 </t>
  </si>
  <si>
    <t>2.3.4.1</t>
  </si>
  <si>
    <t>PRODUCTOS FARMACEUTICOS</t>
  </si>
  <si>
    <t>Productos medicinales para uso humano</t>
  </si>
  <si>
    <t>Modificación Presupuestaria</t>
  </si>
  <si>
    <t>Modificación total</t>
  </si>
  <si>
    <t>Personal de Carácter temporal</t>
  </si>
  <si>
    <t>Sueldo temporal a persona fijo en cargos de carrera</t>
  </si>
  <si>
    <t>Incentivo por Rendimiento Individual</t>
  </si>
  <si>
    <t>Bono por Desempeño a Servidores de Carrera</t>
  </si>
  <si>
    <t>Compensación Extraordinaria Annual</t>
  </si>
  <si>
    <t>2.2.7.2.02</t>
  </si>
  <si>
    <t>Mantenimiento y Reparación de Equipos Tecnología e Información</t>
  </si>
  <si>
    <t>2.2.8.5.01</t>
  </si>
  <si>
    <t>Fumigación</t>
  </si>
  <si>
    <t>Presupuesto Vigente</t>
  </si>
  <si>
    <t>Presupuesto Inicial + Modificación</t>
  </si>
  <si>
    <t>2.3.7.1.05</t>
  </si>
  <si>
    <t>Aceites y Gasas</t>
  </si>
  <si>
    <t>2.3.9.904</t>
  </si>
  <si>
    <t>Productos y útiles de defensa y seguridad</t>
  </si>
  <si>
    <t>Sistemas y equipos de climatización</t>
  </si>
  <si>
    <t>2.6.6.1.01</t>
  </si>
  <si>
    <t>Equipos de Defensa</t>
  </si>
  <si>
    <t>2.6.6.2.01</t>
  </si>
  <si>
    <t>Equipos de Seguridad</t>
  </si>
  <si>
    <t>Obras para edificación no residencial</t>
  </si>
  <si>
    <t>2.1.1.5.03</t>
  </si>
  <si>
    <t>Prestaciones Laborales por Desvinculación</t>
  </si>
  <si>
    <t>Balance
Vigente - Libramiento</t>
  </si>
  <si>
    <t>Prestacion Laboral por Desvinculación</t>
  </si>
  <si>
    <t>Incenttivo por Rendimiento Individual</t>
  </si>
  <si>
    <t>Mothly Average</t>
  </si>
  <si>
    <t>Agosto - Diciembre</t>
  </si>
  <si>
    <t>Balance Disponible</t>
  </si>
  <si>
    <t>2.2.7.2.07</t>
  </si>
  <si>
    <t>Mantenimiento y Rep. de equipos industriales y producción</t>
  </si>
  <si>
    <t>2.2.8.7.05</t>
  </si>
  <si>
    <t>Servicios de informática y sistemas computarizados</t>
  </si>
  <si>
    <t>2.2.8.2.01</t>
  </si>
  <si>
    <t>Comisiones y gastos</t>
  </si>
  <si>
    <t>Cuentas presupuestarias</t>
  </si>
  <si>
    <t xml:space="preserve">Licencias Informaticas </t>
  </si>
  <si>
    <t>Monto RD$</t>
  </si>
  <si>
    <t>Monto Certificado Mensual</t>
  </si>
  <si>
    <t>Monto Ejecutado Nómina</t>
  </si>
  <si>
    <t xml:space="preserve">2.1.2.2.10 </t>
  </si>
  <si>
    <t>COMPENSACION POR CUMPLIMIENTO DE INDICADORES DEL MAP</t>
  </si>
  <si>
    <t>Monto Disponible Cuenta Presupuestaria</t>
  </si>
  <si>
    <t>Monto Disponible para Nuevo Ingreso</t>
  </si>
  <si>
    <t>Montos Totales RD$</t>
  </si>
  <si>
    <t>Monto a Ejecutar 2021</t>
  </si>
  <si>
    <t>Nómina al Personal Nominal Periodo Probatorio - Concurso</t>
  </si>
  <si>
    <t>Monto a tomar de Nómina fija</t>
  </si>
  <si>
    <t>Diferencia para completar Bono (Noviembre 2021)</t>
  </si>
  <si>
    <t>Disponible para aumento y nuevo ingreso</t>
  </si>
  <si>
    <t>meses</t>
  </si>
  <si>
    <t>Monto Certificado DIGEPRES
A</t>
  </si>
  <si>
    <t>Monto Disponible Cuenta Presupuestaria
C</t>
  </si>
  <si>
    <t>Monto Ejecutado Nómina Mensual</t>
  </si>
  <si>
    <t>Mantenimiento y Reparacion de  equipos Industriales y Producción</t>
  </si>
  <si>
    <t>2.2.8.2</t>
  </si>
  <si>
    <t>Comisiones y Gastos</t>
  </si>
  <si>
    <t>Servicios de Informatica y Sistemas Computarizados</t>
  </si>
  <si>
    <t>Sistemas  y equipos de Climatización</t>
  </si>
  <si>
    <t>2.1.1.2.10</t>
  </si>
  <si>
    <t>Personal Temporal en Cargos de Carrera</t>
  </si>
  <si>
    <t>2.3.9.9.04</t>
  </si>
  <si>
    <t>Productos y utiles de defensa y seguridad</t>
  </si>
  <si>
    <t>Mantenimiento y Reparacion de  equipos tecnologia e información</t>
  </si>
  <si>
    <t xml:space="preserve">2 - </t>
  </si>
  <si>
    <t>GASTOS</t>
  </si>
  <si>
    <t>Presupuesto Aprobado</t>
  </si>
  <si>
    <t>Presupuesto Modificado</t>
  </si>
  <si>
    <t>Obras</t>
  </si>
  <si>
    <t>2.6.6</t>
  </si>
  <si>
    <t>Equipos de Defensa y Seguridad</t>
  </si>
  <si>
    <t>Unidad de Análisis Financiero (UAF)</t>
  </si>
  <si>
    <t>AÑO 2021</t>
  </si>
  <si>
    <t>Presupuesto de Gastos y Aplicaciones Financieras</t>
  </si>
  <si>
    <t>En RD$</t>
  </si>
  <si>
    <t>DETALLE</t>
  </si>
  <si>
    <t>Fuente:  SIGEF</t>
  </si>
  <si>
    <t>Monto Ejecutado Nómina Octubre
B</t>
  </si>
  <si>
    <t>Monto a Ejecutar 2021
Nov - Dic</t>
  </si>
  <si>
    <t>2.1.2.2.04</t>
  </si>
  <si>
    <t>Primas de Transporte</t>
  </si>
  <si>
    <t>Compensación Extraordinaria Anual</t>
  </si>
  <si>
    <t>2.3.9.8.02</t>
  </si>
  <si>
    <t xml:space="preserve">Accesorios  </t>
  </si>
  <si>
    <t>2.6.5.2</t>
  </si>
  <si>
    <t>MAQUINARIA Y EQUIPO INDUSTRIAL</t>
  </si>
  <si>
    <t>2.6.5.2.01</t>
  </si>
  <si>
    <t>Maquinaria y equipo industrial</t>
  </si>
  <si>
    <t>2.6.5.5</t>
  </si>
  <si>
    <t xml:space="preserve">Equipo de Comunicación, Telecomunicaciones y Señalamiento </t>
  </si>
  <si>
    <t>2.6.5.7</t>
  </si>
  <si>
    <t>Maquinarias-Herramientas</t>
  </si>
  <si>
    <t>2.6.5.7.01</t>
  </si>
  <si>
    <t>2.3.9.9.05</t>
  </si>
  <si>
    <t>Productos utiles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</si>
</sst>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_-* #,##0.00_-;\-* #,##0.00_-;_-* &quot;-&quot;??_-;_-@_-"/>
    <numFmt numFmtId="166" formatCode="_-* #,##0_-;\-* #,##0_-;_-* &quot;-&quot;??_-;_-@_-"/>
    <numFmt numFmtId="167" formatCode="[$-409]mmmm\-yy;@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2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Light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b/>
      <sz val="14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3C7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0" fontId="29" fillId="0" borderId="0" applyNumberFormat="0" applyFill="0" applyBorder="0" applyAlignment="0" applyProtection="0"/>
  </cellStyleXfs>
  <cellXfs count="284">
    <xf numFmtId="0" fontId="0" fillId="0" borderId="0" xfId="0"/>
    <xf numFmtId="0" fontId="0" fillId="0" borderId="1" xfId="0" applyBorder="1"/>
    <xf numFmtId="164" fontId="0" fillId="0" borderId="1" xfId="0" applyNumberFormat="1" applyBorder="1"/>
    <xf numFmtId="43" fontId="0" fillId="0" borderId="0" xfId="2" applyFont="1"/>
    <xf numFmtId="0" fontId="4" fillId="0" borderId="0" xfId="0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3" fontId="4" fillId="0" borderId="0" xfId="2" applyFont="1"/>
    <xf numFmtId="0" fontId="6" fillId="0" borderId="0" xfId="0" applyFont="1" applyAlignment="1">
      <alignment horizontal="right"/>
    </xf>
    <xf numFmtId="43" fontId="3" fillId="0" borderId="0" xfId="0" applyNumberFormat="1" applyFont="1"/>
    <xf numFmtId="0" fontId="7" fillId="3" borderId="2" xfId="0" applyFont="1" applyFill="1" applyBorder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43" fontId="7" fillId="2" borderId="4" xfId="0" applyNumberFormat="1" applyFont="1" applyFill="1" applyBorder="1" applyAlignment="1">
      <alignment horizontal="center"/>
    </xf>
    <xf numFmtId="0" fontId="7" fillId="0" borderId="0" xfId="0" applyFont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43" fontId="8" fillId="4" borderId="1" xfId="2" applyFont="1" applyFill="1" applyBorder="1" applyAlignment="1">
      <alignment horizontal="center"/>
    </xf>
    <xf numFmtId="0" fontId="9" fillId="0" borderId="1" xfId="0" applyFont="1" applyBorder="1"/>
    <xf numFmtId="43" fontId="9" fillId="0" borderId="1" xfId="2" applyFont="1" applyBorder="1"/>
    <xf numFmtId="43" fontId="9" fillId="0" borderId="1" xfId="0" applyNumberFormat="1" applyFont="1" applyBorder="1"/>
    <xf numFmtId="0" fontId="10" fillId="0" borderId="1" xfId="0" applyFont="1" applyBorder="1" applyProtection="1">
      <protection locked="0"/>
    </xf>
    <xf numFmtId="43" fontId="10" fillId="0" borderId="1" xfId="2" applyFont="1" applyBorder="1" applyProtection="1">
      <protection locked="0"/>
    </xf>
    <xf numFmtId="0" fontId="4" fillId="0" borderId="0" xfId="0" applyFont="1" applyProtection="1">
      <protection locked="0"/>
    </xf>
    <xf numFmtId="43" fontId="9" fillId="0" borderId="1" xfId="0" applyNumberFormat="1" applyFont="1" applyBorder="1" applyProtection="1">
      <protection locked="0"/>
    </xf>
    <xf numFmtId="43" fontId="10" fillId="0" borderId="1" xfId="0" applyNumberFormat="1" applyFont="1" applyBorder="1" applyProtection="1">
      <protection locked="0"/>
    </xf>
    <xf numFmtId="43" fontId="4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/>
    <xf numFmtId="43" fontId="10" fillId="0" borderId="1" xfId="2" applyFont="1" applyBorder="1"/>
    <xf numFmtId="43" fontId="10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43" fontId="9" fillId="0" borderId="1" xfId="2" applyFont="1" applyFill="1" applyBorder="1"/>
    <xf numFmtId="43" fontId="8" fillId="0" borderId="1" xfId="0" applyNumberFormat="1" applyFont="1" applyBorder="1"/>
    <xf numFmtId="0" fontId="8" fillId="0" borderId="1" xfId="0" applyFont="1" applyBorder="1" applyAlignment="1">
      <alignment horizontal="left"/>
    </xf>
    <xf numFmtId="43" fontId="5" fillId="0" borderId="1" xfId="0" applyNumberFormat="1" applyFont="1" applyBorder="1"/>
    <xf numFmtId="0" fontId="8" fillId="0" borderId="1" xfId="0" applyFont="1" applyBorder="1" applyAlignment="1"/>
    <xf numFmtId="43" fontId="8" fillId="0" borderId="1" xfId="2" applyFont="1" applyBorder="1" applyAlignment="1"/>
    <xf numFmtId="43" fontId="8" fillId="0" borderId="1" xfId="0" applyNumberFormat="1" applyFont="1" applyBorder="1" applyAlignment="1"/>
    <xf numFmtId="0" fontId="9" fillId="0" borderId="1" xfId="0" applyFont="1" applyBorder="1" applyAlignment="1"/>
    <xf numFmtId="43" fontId="9" fillId="0" borderId="1" xfId="2" applyFont="1" applyBorder="1" applyAlignment="1"/>
    <xf numFmtId="43" fontId="9" fillId="0" borderId="1" xfId="0" applyNumberFormat="1" applyFont="1" applyBorder="1" applyAlignment="1"/>
    <xf numFmtId="0" fontId="10" fillId="0" borderId="1" xfId="0" applyFont="1" applyBorder="1" applyAlignment="1">
      <alignment horizontal="left"/>
    </xf>
    <xf numFmtId="43" fontId="10" fillId="4" borderId="1" xfId="2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Protection="1">
      <protection locked="0"/>
    </xf>
    <xf numFmtId="43" fontId="0" fillId="0" borderId="0" xfId="0" applyNumberFormat="1"/>
    <xf numFmtId="164" fontId="0" fillId="0" borderId="0" xfId="0" applyNumberFormat="1"/>
    <xf numFmtId="0" fontId="0" fillId="4" borderId="0" xfId="0" applyFill="1"/>
    <xf numFmtId="43" fontId="2" fillId="0" borderId="0" xfId="2" applyFont="1"/>
    <xf numFmtId="0" fontId="2" fillId="0" borderId="0" xfId="0" applyFont="1"/>
    <xf numFmtId="43" fontId="2" fillId="0" borderId="0" xfId="0" applyNumberFormat="1" applyFont="1"/>
    <xf numFmtId="0" fontId="17" fillId="5" borderId="2" xfId="0" applyFont="1" applyFill="1" applyBorder="1"/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2" fillId="0" borderId="0" xfId="0" applyFont="1"/>
    <xf numFmtId="0" fontId="19" fillId="6" borderId="7" xfId="3" applyFont="1" applyFill="1" applyBorder="1" applyAlignment="1">
      <alignment horizontal="left" vertical="center" wrapText="1"/>
    </xf>
    <xf numFmtId="165" fontId="19" fillId="6" borderId="7" xfId="3" applyNumberFormat="1" applyFont="1" applyFill="1" applyBorder="1" applyAlignment="1">
      <alignment horizontal="right" vertical="center"/>
    </xf>
    <xf numFmtId="0" fontId="20" fillId="0" borderId="9" xfId="3" applyFont="1" applyBorder="1" applyAlignment="1">
      <alignment horizontal="left" vertical="center" indent="1"/>
    </xf>
    <xf numFmtId="0" fontId="21" fillId="0" borderId="1" xfId="3" applyFont="1" applyBorder="1" applyAlignment="1">
      <alignment horizontal="left" vertical="center" wrapText="1"/>
    </xf>
    <xf numFmtId="165" fontId="21" fillId="0" borderId="10" xfId="3" applyNumberFormat="1" applyFont="1" applyBorder="1" applyAlignment="1">
      <alignment horizontal="right" vertical="center"/>
    </xf>
    <xf numFmtId="165" fontId="21" fillId="0" borderId="11" xfId="3" applyNumberFormat="1" applyFont="1" applyBorder="1" applyAlignment="1">
      <alignment horizontal="right" vertical="center"/>
    </xf>
    <xf numFmtId="0" fontId="19" fillId="6" borderId="9" xfId="3" applyFont="1" applyFill="1" applyBorder="1" applyAlignment="1">
      <alignment horizontal="left" vertical="center" indent="1"/>
    </xf>
    <xf numFmtId="0" fontId="19" fillId="6" borderId="1" xfId="3" applyFont="1" applyFill="1" applyBorder="1" applyAlignment="1">
      <alignment horizontal="left" vertical="center" wrapText="1"/>
    </xf>
    <xf numFmtId="165" fontId="19" fillId="6" borderId="1" xfId="3" applyNumberFormat="1" applyFont="1" applyFill="1" applyBorder="1" applyAlignment="1">
      <alignment horizontal="right" vertical="center"/>
    </xf>
    <xf numFmtId="165" fontId="21" fillId="0" borderId="1" xfId="3" applyNumberFormat="1" applyFont="1" applyBorder="1" applyAlignment="1">
      <alignment horizontal="right" vertical="center"/>
    </xf>
    <xf numFmtId="0" fontId="22" fillId="6" borderId="9" xfId="3" applyFont="1" applyFill="1" applyBorder="1" applyAlignment="1">
      <alignment horizontal="left" vertical="center" indent="1"/>
    </xf>
    <xf numFmtId="0" fontId="19" fillId="6" borderId="12" xfId="3" applyFont="1" applyFill="1" applyBorder="1" applyAlignment="1">
      <alignment horizontal="left" vertical="center" indent="1"/>
    </xf>
    <xf numFmtId="0" fontId="19" fillId="6" borderId="10" xfId="3" applyFont="1" applyFill="1" applyBorder="1" applyAlignment="1">
      <alignment horizontal="left" vertical="center" wrapText="1"/>
    </xf>
    <xf numFmtId="0" fontId="19" fillId="6" borderId="9" xfId="3" applyFont="1" applyFill="1" applyBorder="1" applyAlignment="1">
      <alignment horizontal="left" indent="1"/>
    </xf>
    <xf numFmtId="0" fontId="19" fillId="6" borderId="1" xfId="3" applyFont="1" applyFill="1" applyBorder="1" applyAlignment="1">
      <alignment horizontal="left" wrapText="1"/>
    </xf>
    <xf numFmtId="165" fontId="19" fillId="6" borderId="1" xfId="3" applyNumberFormat="1" applyFont="1" applyFill="1" applyBorder="1" applyAlignment="1">
      <alignment horizontal="right"/>
    </xf>
    <xf numFmtId="0" fontId="13" fillId="0" borderId="0" xfId="0" applyFont="1"/>
    <xf numFmtId="165" fontId="21" fillId="0" borderId="1" xfId="3" applyNumberFormat="1" applyFont="1" applyBorder="1" applyAlignment="1">
      <alignment horizontal="right"/>
    </xf>
    <xf numFmtId="0" fontId="19" fillId="6" borderId="9" xfId="3" applyFont="1" applyFill="1" applyBorder="1" applyAlignment="1">
      <alignment horizontal="left" vertical="top" indent="1"/>
    </xf>
    <xf numFmtId="0" fontId="19" fillId="6" borderId="1" xfId="3" applyFont="1" applyFill="1" applyBorder="1" applyAlignment="1">
      <alignment horizontal="left" vertical="top" wrapText="1"/>
    </xf>
    <xf numFmtId="0" fontId="21" fillId="0" borderId="1" xfId="3" applyFont="1" applyFill="1" applyBorder="1" applyAlignment="1">
      <alignment horizontal="left" vertical="center" wrapText="1"/>
    </xf>
    <xf numFmtId="165" fontId="19" fillId="0" borderId="1" xfId="3" applyNumberFormat="1" applyFont="1" applyFill="1" applyBorder="1" applyAlignment="1">
      <alignment horizontal="right" vertical="center"/>
    </xf>
    <xf numFmtId="165" fontId="21" fillId="0" borderId="1" xfId="3" applyNumberFormat="1" applyFont="1" applyFill="1" applyBorder="1" applyAlignment="1">
      <alignment horizontal="right" vertical="center"/>
    </xf>
    <xf numFmtId="0" fontId="12" fillId="0" borderId="0" xfId="0" applyFont="1" applyFill="1"/>
    <xf numFmtId="165" fontId="21" fillId="0" borderId="11" xfId="3" applyNumberFormat="1" applyFont="1" applyFill="1" applyBorder="1" applyAlignment="1">
      <alignment horizontal="right" vertical="center"/>
    </xf>
    <xf numFmtId="165" fontId="21" fillId="6" borderId="1" xfId="3" applyNumberFormat="1" applyFont="1" applyFill="1" applyBorder="1" applyAlignment="1">
      <alignment horizontal="right" vertical="center"/>
    </xf>
    <xf numFmtId="165" fontId="21" fillId="0" borderId="1" xfId="3" applyNumberFormat="1" applyFont="1" applyFill="1" applyBorder="1" applyAlignment="1">
      <alignment horizontal="right"/>
    </xf>
    <xf numFmtId="0" fontId="21" fillId="0" borderId="9" xfId="3" applyFont="1" applyFill="1" applyBorder="1" applyAlignment="1">
      <alignment horizontal="left" vertical="center" indent="1"/>
    </xf>
    <xf numFmtId="165" fontId="19" fillId="0" borderId="13" xfId="3" applyNumberFormat="1" applyFont="1" applyFill="1" applyBorder="1" applyAlignment="1">
      <alignment horizontal="right" vertical="center"/>
    </xf>
    <xf numFmtId="166" fontId="21" fillId="0" borderId="1" xfId="3" applyNumberFormat="1" applyFont="1" applyFill="1" applyBorder="1" applyAlignment="1">
      <alignment horizontal="right" vertical="center"/>
    </xf>
    <xf numFmtId="0" fontId="23" fillId="0" borderId="14" xfId="3" applyFont="1" applyBorder="1" applyAlignment="1">
      <alignment horizontal="left" vertical="top"/>
    </xf>
    <xf numFmtId="0" fontId="23" fillId="0" borderId="15" xfId="3" applyFont="1" applyBorder="1" applyAlignment="1">
      <alignment horizontal="left" vertical="top" indent="4"/>
    </xf>
    <xf numFmtId="43" fontId="19" fillId="0" borderId="15" xfId="2" applyFont="1" applyBorder="1"/>
    <xf numFmtId="43" fontId="19" fillId="0" borderId="16" xfId="2" applyFont="1" applyBorder="1"/>
    <xf numFmtId="43" fontId="12" fillId="0" borderId="0" xfId="2" applyFont="1"/>
    <xf numFmtId="43" fontId="11" fillId="0" borderId="0" xfId="2" applyFont="1"/>
    <xf numFmtId="167" fontId="0" fillId="0" borderId="0" xfId="0" applyNumberFormat="1"/>
    <xf numFmtId="0" fontId="1" fillId="6" borderId="0" xfId="0" applyFont="1" applyFill="1"/>
    <xf numFmtId="43" fontId="1" fillId="6" borderId="0" xfId="0" applyNumberFormat="1" applyFont="1" applyFill="1"/>
    <xf numFmtId="43" fontId="9" fillId="0" borderId="1" xfId="2" applyFont="1" applyBorder="1" applyProtection="1">
      <protection locked="0"/>
    </xf>
    <xf numFmtId="0" fontId="4" fillId="6" borderId="0" xfId="0" applyFont="1" applyFill="1"/>
    <xf numFmtId="4" fontId="4" fillId="6" borderId="0" xfId="0" applyNumberFormat="1" applyFont="1" applyFill="1"/>
    <xf numFmtId="43" fontId="4" fillId="6" borderId="0" xfId="0" applyNumberFormat="1" applyFont="1" applyFill="1"/>
    <xf numFmtId="0" fontId="24" fillId="7" borderId="0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9" fontId="24" fillId="7" borderId="1" xfId="1" applyFont="1" applyFill="1" applyBorder="1" applyAlignment="1">
      <alignment horizontal="center" wrapText="1"/>
    </xf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43" fontId="26" fillId="0" borderId="1" xfId="2" applyFont="1" applyBorder="1"/>
    <xf numFmtId="9" fontId="26" fillId="0" borderId="1" xfId="1" applyFont="1" applyBorder="1"/>
    <xf numFmtId="0" fontId="25" fillId="0" borderId="1" xfId="0" applyFont="1" applyBorder="1"/>
    <xf numFmtId="43" fontId="25" fillId="0" borderId="1" xfId="2" applyFont="1" applyBorder="1"/>
    <xf numFmtId="43" fontId="25" fillId="0" borderId="1" xfId="2" applyFont="1" applyFill="1" applyBorder="1"/>
    <xf numFmtId="9" fontId="25" fillId="0" borderId="1" xfId="1" applyFont="1" applyBorder="1"/>
    <xf numFmtId="167" fontId="24" fillId="7" borderId="0" xfId="0" applyNumberFormat="1" applyFont="1" applyFill="1" applyBorder="1" applyAlignment="1">
      <alignment horizontal="center"/>
    </xf>
    <xf numFmtId="9" fontId="0" fillId="0" borderId="0" xfId="1" applyFont="1"/>
    <xf numFmtId="0" fontId="27" fillId="7" borderId="1" xfId="0" applyFont="1" applyFill="1" applyBorder="1"/>
    <xf numFmtId="0" fontId="27" fillId="7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/>
    </xf>
    <xf numFmtId="0" fontId="27" fillId="8" borderId="1" xfId="0" applyFont="1" applyFill="1" applyBorder="1"/>
    <xf numFmtId="164" fontId="27" fillId="8" borderId="1" xfId="0" applyNumberFormat="1" applyFont="1" applyFill="1" applyBorder="1"/>
    <xf numFmtId="43" fontId="27" fillId="7" borderId="1" xfId="2" applyFont="1" applyFill="1" applyBorder="1" applyAlignment="1">
      <alignment horizontal="center"/>
    </xf>
    <xf numFmtId="43" fontId="4" fillId="0" borderId="0" xfId="0" applyNumberFormat="1" applyFont="1"/>
    <xf numFmtId="0" fontId="28" fillId="9" borderId="3" xfId="0" applyFont="1" applyFill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0" fontId="19" fillId="10" borderId="7" xfId="3" applyFont="1" applyFill="1" applyBorder="1" applyAlignment="1">
      <alignment horizontal="left" vertical="center" wrapText="1"/>
    </xf>
    <xf numFmtId="165" fontId="19" fillId="10" borderId="7" xfId="3" applyNumberFormat="1" applyFont="1" applyFill="1" applyBorder="1" applyAlignment="1">
      <alignment horizontal="right" vertical="center"/>
    </xf>
    <xf numFmtId="165" fontId="19" fillId="10" borderId="8" xfId="3" applyNumberFormat="1" applyFont="1" applyFill="1" applyBorder="1" applyAlignment="1">
      <alignment horizontal="right" vertical="center"/>
    </xf>
    <xf numFmtId="0" fontId="19" fillId="10" borderId="9" xfId="3" applyFont="1" applyFill="1" applyBorder="1" applyAlignment="1">
      <alignment horizontal="left" vertical="center" indent="1"/>
    </xf>
    <xf numFmtId="0" fontId="19" fillId="10" borderId="1" xfId="3" applyFont="1" applyFill="1" applyBorder="1" applyAlignment="1">
      <alignment horizontal="left" vertical="center" wrapText="1"/>
    </xf>
    <xf numFmtId="165" fontId="19" fillId="10" borderId="1" xfId="3" applyNumberFormat="1" applyFont="1" applyFill="1" applyBorder="1" applyAlignment="1">
      <alignment horizontal="right" vertical="center"/>
    </xf>
    <xf numFmtId="165" fontId="19" fillId="10" borderId="11" xfId="3" applyNumberFormat="1" applyFont="1" applyFill="1" applyBorder="1" applyAlignment="1">
      <alignment horizontal="right" vertical="center"/>
    </xf>
    <xf numFmtId="0" fontId="19" fillId="6" borderId="6" xfId="3" applyFont="1" applyFill="1" applyBorder="1" applyAlignment="1">
      <alignment horizontal="left" vertical="center" indent="1"/>
    </xf>
    <xf numFmtId="165" fontId="0" fillId="0" borderId="0" xfId="0" applyNumberFormat="1"/>
    <xf numFmtId="0" fontId="20" fillId="11" borderId="9" xfId="3" applyFont="1" applyFill="1" applyBorder="1" applyAlignment="1">
      <alignment horizontal="left" vertical="center" indent="1"/>
    </xf>
    <xf numFmtId="0" fontId="21" fillId="11" borderId="1" xfId="3" applyFont="1" applyFill="1" applyBorder="1" applyAlignment="1">
      <alignment horizontal="left" vertical="center" wrapText="1"/>
    </xf>
    <xf numFmtId="165" fontId="21" fillId="11" borderId="1" xfId="3" applyNumberFormat="1" applyFont="1" applyFill="1" applyBorder="1" applyAlignment="1">
      <alignment horizontal="right"/>
    </xf>
    <xf numFmtId="0" fontId="22" fillId="11" borderId="9" xfId="3" applyFont="1" applyFill="1" applyBorder="1" applyAlignment="1">
      <alignment horizontal="left" vertical="center" indent="1"/>
    </xf>
    <xf numFmtId="0" fontId="19" fillId="11" borderId="1" xfId="3" applyFont="1" applyFill="1" applyBorder="1" applyAlignment="1">
      <alignment horizontal="left" vertical="center" wrapText="1"/>
    </xf>
    <xf numFmtId="165" fontId="19" fillId="11" borderId="1" xfId="3" applyNumberFormat="1" applyFont="1" applyFill="1" applyBorder="1" applyAlignment="1">
      <alignment horizontal="right"/>
    </xf>
    <xf numFmtId="0" fontId="22" fillId="12" borderId="9" xfId="3" applyFont="1" applyFill="1" applyBorder="1" applyAlignment="1">
      <alignment horizontal="left" vertical="center" indent="1"/>
    </xf>
    <xf numFmtId="0" fontId="19" fillId="12" borderId="1" xfId="3" applyFont="1" applyFill="1" applyBorder="1" applyAlignment="1">
      <alignment horizontal="left" vertical="center" wrapText="1"/>
    </xf>
    <xf numFmtId="165" fontId="19" fillId="12" borderId="1" xfId="3" applyNumberFormat="1" applyFont="1" applyFill="1" applyBorder="1" applyAlignment="1">
      <alignment horizontal="right"/>
    </xf>
    <xf numFmtId="0" fontId="20" fillId="12" borderId="9" xfId="3" applyFont="1" applyFill="1" applyBorder="1" applyAlignment="1">
      <alignment horizontal="left" vertical="center" indent="1"/>
    </xf>
    <xf numFmtId="0" fontId="21" fillId="12" borderId="1" xfId="3" applyFont="1" applyFill="1" applyBorder="1" applyAlignment="1">
      <alignment horizontal="left" vertical="center" wrapText="1"/>
    </xf>
    <xf numFmtId="165" fontId="21" fillId="12" borderId="1" xfId="3" applyNumberFormat="1" applyFont="1" applyFill="1" applyBorder="1" applyAlignment="1">
      <alignment horizontal="right"/>
    </xf>
    <xf numFmtId="0" fontId="20" fillId="13" borderId="9" xfId="3" applyFont="1" applyFill="1" applyBorder="1" applyAlignment="1">
      <alignment horizontal="left" vertical="center" indent="1"/>
    </xf>
    <xf numFmtId="0" fontId="21" fillId="13" borderId="1" xfId="3" applyFont="1" applyFill="1" applyBorder="1" applyAlignment="1">
      <alignment horizontal="left" vertical="center" wrapText="1"/>
    </xf>
    <xf numFmtId="165" fontId="21" fillId="13" borderId="1" xfId="3" applyNumberFormat="1" applyFont="1" applyFill="1" applyBorder="1" applyAlignment="1">
      <alignment horizontal="right"/>
    </xf>
    <xf numFmtId="0" fontId="22" fillId="13" borderId="9" xfId="3" applyFont="1" applyFill="1" applyBorder="1" applyAlignment="1">
      <alignment horizontal="left" vertical="center" indent="1"/>
    </xf>
    <xf numFmtId="0" fontId="19" fillId="13" borderId="1" xfId="3" applyFont="1" applyFill="1" applyBorder="1" applyAlignment="1">
      <alignment horizontal="left" vertical="center" wrapText="1"/>
    </xf>
    <xf numFmtId="165" fontId="19" fillId="13" borderId="1" xfId="3" applyNumberFormat="1" applyFont="1" applyFill="1" applyBorder="1" applyAlignment="1">
      <alignment horizontal="right"/>
    </xf>
    <xf numFmtId="0" fontId="19" fillId="14" borderId="9" xfId="3" applyFont="1" applyFill="1" applyBorder="1" applyAlignment="1">
      <alignment horizontal="left" vertical="center" indent="1"/>
    </xf>
    <xf numFmtId="0" fontId="19" fillId="14" borderId="1" xfId="3" applyFont="1" applyFill="1" applyBorder="1" applyAlignment="1">
      <alignment horizontal="left" vertical="center" wrapText="1"/>
    </xf>
    <xf numFmtId="165" fontId="19" fillId="14" borderId="1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8" fillId="15" borderId="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8" fillId="17" borderId="0" xfId="0" applyFont="1" applyFill="1" applyAlignment="1">
      <alignment horizontal="center"/>
    </xf>
    <xf numFmtId="10" fontId="0" fillId="0" borderId="0" xfId="1" applyNumberFormat="1" applyFont="1"/>
    <xf numFmtId="43" fontId="30" fillId="4" borderId="14" xfId="2" applyFont="1" applyFill="1" applyBorder="1" applyAlignment="1">
      <alignment vertical="center"/>
    </xf>
    <xf numFmtId="165" fontId="21" fillId="0" borderId="13" xfId="3" applyNumberFormat="1" applyFont="1" applyBorder="1" applyAlignment="1">
      <alignment horizontal="right" vertical="center"/>
    </xf>
    <xf numFmtId="0" fontId="20" fillId="0" borderId="17" xfId="3" applyFont="1" applyBorder="1" applyAlignment="1">
      <alignment horizontal="left" vertical="center" indent="1"/>
    </xf>
    <xf numFmtId="0" fontId="20" fillId="0" borderId="1" xfId="3" applyFont="1" applyBorder="1" applyAlignment="1">
      <alignment horizontal="left" vertical="center" indent="1"/>
    </xf>
    <xf numFmtId="43" fontId="21" fillId="0" borderId="1" xfId="2" applyFont="1" applyBorder="1" applyAlignment="1">
      <alignment horizontal="right" vertical="center"/>
    </xf>
    <xf numFmtId="43" fontId="19" fillId="0" borderId="1" xfId="2" applyFont="1" applyFill="1" applyBorder="1" applyAlignment="1">
      <alignment horizontal="left" vertical="center" indent="1"/>
    </xf>
    <xf numFmtId="165" fontId="19" fillId="6" borderId="19" xfId="3" applyNumberFormat="1" applyFont="1" applyFill="1" applyBorder="1" applyAlignment="1">
      <alignment horizontal="right" vertical="center"/>
    </xf>
    <xf numFmtId="165" fontId="19" fillId="6" borderId="13" xfId="3" applyNumberFormat="1" applyFont="1" applyFill="1" applyBorder="1" applyAlignment="1">
      <alignment horizontal="right" vertical="center"/>
    </xf>
    <xf numFmtId="165" fontId="21" fillId="0" borderId="13" xfId="3" applyNumberFormat="1" applyFont="1" applyFill="1" applyBorder="1" applyAlignment="1">
      <alignment horizontal="right" vertical="center"/>
    </xf>
    <xf numFmtId="165" fontId="19" fillId="6" borderId="13" xfId="3" applyNumberFormat="1" applyFont="1" applyFill="1" applyBorder="1" applyAlignment="1">
      <alignment horizontal="right"/>
    </xf>
    <xf numFmtId="0" fontId="19" fillId="10" borderId="20" xfId="3" applyFont="1" applyFill="1" applyBorder="1" applyAlignment="1">
      <alignment horizontal="left" vertical="center" indent="1"/>
    </xf>
    <xf numFmtId="0" fontId="19" fillId="10" borderId="17" xfId="3" applyFont="1" applyFill="1" applyBorder="1" applyAlignment="1">
      <alignment horizontal="left" vertical="center" indent="1"/>
    </xf>
    <xf numFmtId="0" fontId="21" fillId="0" borderId="17" xfId="3" applyFont="1" applyFill="1" applyBorder="1" applyAlignment="1">
      <alignment horizontal="left" vertical="center" indent="1"/>
    </xf>
    <xf numFmtId="0" fontId="19" fillId="16" borderId="1" xfId="3" applyFont="1" applyFill="1" applyBorder="1" applyAlignment="1">
      <alignment horizontal="left" vertical="center" indent="1"/>
    </xf>
    <xf numFmtId="43" fontId="19" fillId="16" borderId="1" xfId="2" applyFont="1" applyFill="1" applyBorder="1" applyAlignment="1">
      <alignment horizontal="left" vertical="center" indent="1"/>
    </xf>
    <xf numFmtId="43" fontId="21" fillId="0" borderId="1" xfId="2" applyFont="1" applyFill="1" applyBorder="1" applyAlignment="1">
      <alignment horizontal="right" vertical="center"/>
    </xf>
    <xf numFmtId="0" fontId="21" fillId="0" borderId="1" xfId="3" applyFont="1" applyFill="1" applyBorder="1" applyAlignment="1">
      <alignment horizontal="left" vertical="center" indent="1"/>
    </xf>
    <xf numFmtId="43" fontId="19" fillId="0" borderId="1" xfId="2" applyFont="1" applyFill="1" applyBorder="1" applyAlignment="1">
      <alignment horizontal="right" vertical="center"/>
    </xf>
    <xf numFmtId="43" fontId="19" fillId="16" borderId="21" xfId="2" applyFont="1" applyFill="1" applyBorder="1" applyAlignment="1">
      <alignment horizontal="left" vertical="center" indent="1"/>
    </xf>
    <xf numFmtId="43" fontId="21" fillId="0" borderId="17" xfId="2" applyFont="1" applyBorder="1" applyAlignment="1">
      <alignment horizontal="right" vertical="center"/>
    </xf>
    <xf numFmtId="43" fontId="19" fillId="0" borderId="17" xfId="2" applyFont="1" applyFill="1" applyBorder="1" applyAlignment="1">
      <alignment horizontal="left" vertical="center" indent="1"/>
    </xf>
    <xf numFmtId="43" fontId="19" fillId="16" borderId="17" xfId="2" applyFont="1" applyFill="1" applyBorder="1" applyAlignment="1">
      <alignment horizontal="left" vertical="center" indent="1"/>
    </xf>
    <xf numFmtId="43" fontId="21" fillId="0" borderId="17" xfId="2" applyFont="1" applyFill="1" applyBorder="1" applyAlignment="1">
      <alignment horizontal="right" vertical="center"/>
    </xf>
    <xf numFmtId="43" fontId="19" fillId="0" borderId="17" xfId="2" applyFont="1" applyFill="1" applyBorder="1" applyAlignment="1">
      <alignment horizontal="right" vertical="center"/>
    </xf>
    <xf numFmtId="0" fontId="28" fillId="15" borderId="2" xfId="0" applyFont="1" applyFill="1" applyBorder="1" applyAlignment="1">
      <alignment horizontal="center" wrapText="1"/>
    </xf>
    <xf numFmtId="0" fontId="19" fillId="6" borderId="18" xfId="3" applyFont="1" applyFill="1" applyBorder="1" applyAlignment="1">
      <alignment horizontal="left" vertical="center" indent="1"/>
    </xf>
    <xf numFmtId="0" fontId="19" fillId="6" borderId="22" xfId="3" applyFont="1" applyFill="1" applyBorder="1" applyAlignment="1">
      <alignment horizontal="left" vertical="center" wrapText="1"/>
    </xf>
    <xf numFmtId="165" fontId="19" fillId="6" borderId="22" xfId="3" applyNumberFormat="1" applyFont="1" applyFill="1" applyBorder="1" applyAlignment="1">
      <alignment horizontal="right"/>
    </xf>
    <xf numFmtId="165" fontId="19" fillId="6" borderId="22" xfId="3" applyNumberFormat="1" applyFont="1" applyFill="1" applyBorder="1" applyAlignment="1">
      <alignment horizontal="right" vertical="center"/>
    </xf>
    <xf numFmtId="0" fontId="19" fillId="10" borderId="22" xfId="3" applyFont="1" applyFill="1" applyBorder="1" applyAlignment="1">
      <alignment horizontal="left" vertical="center" wrapText="1"/>
    </xf>
    <xf numFmtId="165" fontId="19" fillId="10" borderId="22" xfId="3" applyNumberFormat="1" applyFont="1" applyFill="1" applyBorder="1" applyAlignment="1">
      <alignment horizontal="right" vertical="center"/>
    </xf>
    <xf numFmtId="165" fontId="19" fillId="10" borderId="23" xfId="3" applyNumberFormat="1" applyFont="1" applyFill="1" applyBorder="1" applyAlignment="1">
      <alignment horizontal="right" vertical="center"/>
    </xf>
    <xf numFmtId="165" fontId="19" fillId="6" borderId="24" xfId="3" applyNumberFormat="1" applyFont="1" applyFill="1" applyBorder="1" applyAlignment="1">
      <alignment horizontal="right" vertical="center"/>
    </xf>
    <xf numFmtId="0" fontId="19" fillId="10" borderId="25" xfId="3" applyFont="1" applyFill="1" applyBorder="1" applyAlignment="1">
      <alignment horizontal="left" vertical="center" indent="1"/>
    </xf>
    <xf numFmtId="43" fontId="19" fillId="0" borderId="26" xfId="2" applyFont="1" applyBorder="1"/>
    <xf numFmtId="43" fontId="31" fillId="0" borderId="0" xfId="2" applyFont="1"/>
    <xf numFmtId="0" fontId="28" fillId="18" borderId="2" xfId="0" applyFont="1" applyFill="1" applyBorder="1" applyAlignment="1">
      <alignment horizontal="center" wrapText="1"/>
    </xf>
    <xf numFmtId="165" fontId="32" fillId="10" borderId="11" xfId="3" applyNumberFormat="1" applyFont="1" applyFill="1" applyBorder="1" applyAlignment="1">
      <alignment horizontal="right" vertical="center"/>
    </xf>
    <xf numFmtId="165" fontId="19" fillId="6" borderId="11" xfId="3" applyNumberFormat="1" applyFont="1" applyFill="1" applyBorder="1" applyAlignment="1">
      <alignment horizontal="right" vertical="center"/>
    </xf>
    <xf numFmtId="0" fontId="10" fillId="4" borderId="1" xfId="0" applyFont="1" applyFill="1" applyBorder="1"/>
    <xf numFmtId="43" fontId="19" fillId="2" borderId="1" xfId="2" applyFont="1" applyFill="1" applyBorder="1" applyAlignment="1">
      <alignment horizontal="left" vertical="center" indent="1"/>
    </xf>
    <xf numFmtId="43" fontId="21" fillId="2" borderId="1" xfId="2" applyFont="1" applyFill="1" applyBorder="1" applyAlignment="1">
      <alignment horizontal="right" vertical="center"/>
    </xf>
    <xf numFmtId="9" fontId="33" fillId="14" borderId="0" xfId="1" applyFont="1" applyFill="1"/>
    <xf numFmtId="9" fontId="12" fillId="0" borderId="0" xfId="1" applyFont="1"/>
    <xf numFmtId="43" fontId="30" fillId="0" borderId="0" xfId="2" applyFont="1" applyBorder="1" applyAlignment="1">
      <alignment vertical="center"/>
    </xf>
    <xf numFmtId="43" fontId="34" fillId="0" borderId="0" xfId="2" applyFont="1" applyProtection="1">
      <protection locked="0"/>
    </xf>
    <xf numFmtId="43" fontId="34" fillId="0" borderId="0" xfId="0" applyNumberFormat="1" applyFont="1" applyProtection="1">
      <protection locked="0"/>
    </xf>
    <xf numFmtId="165" fontId="19" fillId="19" borderId="11" xfId="3" applyNumberFormat="1" applyFont="1" applyFill="1" applyBorder="1" applyAlignment="1">
      <alignment horizontal="right" vertical="center"/>
    </xf>
    <xf numFmtId="43" fontId="12" fillId="0" borderId="0" xfId="0" applyNumberFormat="1" applyFont="1"/>
    <xf numFmtId="0" fontId="28" fillId="9" borderId="27" xfId="0" applyFont="1" applyFill="1" applyBorder="1" applyAlignment="1">
      <alignment horizontal="center"/>
    </xf>
    <xf numFmtId="0" fontId="28" fillId="18" borderId="1" xfId="0" applyFont="1" applyFill="1" applyBorder="1" applyAlignment="1">
      <alignment horizontal="center" wrapText="1"/>
    </xf>
    <xf numFmtId="0" fontId="28" fillId="9" borderId="1" xfId="0" applyFont="1" applyFill="1" applyBorder="1" applyAlignment="1">
      <alignment horizontal="center"/>
    </xf>
    <xf numFmtId="0" fontId="12" fillId="0" borderId="1" xfId="0" applyFont="1" applyBorder="1"/>
    <xf numFmtId="165" fontId="32" fillId="10" borderId="1" xfId="3" applyNumberFormat="1" applyFont="1" applyFill="1" applyBorder="1" applyAlignment="1">
      <alignment horizontal="right" vertical="center"/>
    </xf>
    <xf numFmtId="0" fontId="12" fillId="0" borderId="1" xfId="0" applyFont="1" applyFill="1" applyBorder="1"/>
    <xf numFmtId="165" fontId="19" fillId="18" borderId="1" xfId="3" applyNumberFormat="1" applyFont="1" applyFill="1" applyBorder="1" applyAlignment="1">
      <alignment horizontal="right" vertical="center"/>
    </xf>
    <xf numFmtId="43" fontId="19" fillId="6" borderId="1" xfId="2" applyFont="1" applyFill="1" applyBorder="1" applyAlignment="1">
      <alignment horizontal="left" vertical="center" indent="1"/>
    </xf>
    <xf numFmtId="165" fontId="21" fillId="10" borderId="1" xfId="3" applyNumberFormat="1" applyFont="1" applyFill="1" applyBorder="1" applyAlignment="1">
      <alignment horizontal="right" vertical="center"/>
    </xf>
    <xf numFmtId="165" fontId="19" fillId="20" borderId="11" xfId="3" applyNumberFormat="1" applyFont="1" applyFill="1" applyBorder="1" applyAlignment="1">
      <alignment horizontal="right" vertical="center"/>
    </xf>
    <xf numFmtId="43" fontId="0" fillId="0" borderId="1" xfId="0" applyNumberFormat="1" applyBorder="1"/>
    <xf numFmtId="43" fontId="11" fillId="0" borderId="1" xfId="0" applyNumberFormat="1" applyFont="1" applyBorder="1"/>
    <xf numFmtId="43" fontId="0" fillId="0" borderId="1" xfId="2" applyFont="1" applyBorder="1"/>
    <xf numFmtId="43" fontId="1" fillId="0" borderId="1" xfId="0" applyNumberFormat="1" applyFont="1" applyBorder="1"/>
    <xf numFmtId="43" fontId="1" fillId="0" borderId="1" xfId="2" applyFont="1" applyBorder="1"/>
    <xf numFmtId="0" fontId="0" fillId="0" borderId="13" xfId="0" applyBorder="1"/>
    <xf numFmtId="0" fontId="0" fillId="0" borderId="28" xfId="0" applyBorder="1"/>
    <xf numFmtId="43" fontId="0" fillId="0" borderId="28" xfId="2" applyFont="1" applyBorder="1"/>
    <xf numFmtId="0" fontId="0" fillId="0" borderId="17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13" fillId="0" borderId="1" xfId="2" applyFont="1" applyBorder="1" applyAlignment="1">
      <alignment horizontal="center"/>
    </xf>
    <xf numFmtId="0" fontId="27" fillId="9" borderId="1" xfId="0" applyFont="1" applyFill="1" applyBorder="1" applyAlignment="1">
      <alignment horizontal="center" vertical="center" wrapText="1"/>
    </xf>
    <xf numFmtId="0" fontId="35" fillId="9" borderId="0" xfId="0" applyFont="1" applyFill="1" applyAlignment="1">
      <alignment horizontal="center"/>
    </xf>
    <xf numFmtId="0" fontId="38" fillId="4" borderId="1" xfId="0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vertical="center"/>
    </xf>
    <xf numFmtId="43" fontId="39" fillId="4" borderId="1" xfId="2" applyFont="1" applyFill="1" applyBorder="1" applyAlignment="1">
      <alignment vertical="center"/>
    </xf>
    <xf numFmtId="0" fontId="39" fillId="4" borderId="0" xfId="0" applyFont="1" applyFill="1"/>
    <xf numFmtId="43" fontId="39" fillId="4" borderId="0" xfId="2" applyFont="1" applyFill="1"/>
    <xf numFmtId="0" fontId="39" fillId="4" borderId="0" xfId="0" applyFont="1" applyFill="1" applyAlignment="1">
      <alignment horizontal="right"/>
    </xf>
    <xf numFmtId="43" fontId="39" fillId="4" borderId="0" xfId="2" applyFont="1" applyFill="1" applyBorder="1"/>
    <xf numFmtId="43" fontId="39" fillId="4" borderId="29" xfId="0" applyNumberFormat="1" applyFont="1" applyFill="1" applyBorder="1"/>
    <xf numFmtId="43" fontId="39" fillId="4" borderId="0" xfId="0" applyNumberFormat="1" applyFont="1" applyFill="1"/>
    <xf numFmtId="0" fontId="39" fillId="4" borderId="0" xfId="0" applyFont="1" applyFill="1" applyAlignment="1">
      <alignment horizontal="center"/>
    </xf>
    <xf numFmtId="43" fontId="39" fillId="4" borderId="0" xfId="0" applyNumberFormat="1" applyFont="1" applyFill="1" applyBorder="1"/>
    <xf numFmtId="43" fontId="39" fillId="4" borderId="13" xfId="2" applyFont="1" applyFill="1" applyBorder="1"/>
    <xf numFmtId="43" fontId="39" fillId="4" borderId="28" xfId="2" applyFont="1" applyFill="1" applyBorder="1"/>
    <xf numFmtId="43" fontId="39" fillId="4" borderId="17" xfId="2" applyFont="1" applyFill="1" applyBorder="1"/>
    <xf numFmtId="0" fontId="39" fillId="4" borderId="0" xfId="0" applyFont="1" applyFill="1" applyAlignment="1">
      <alignment horizontal="left"/>
    </xf>
    <xf numFmtId="43" fontId="10" fillId="6" borderId="1" xfId="2" applyFont="1" applyFill="1" applyBorder="1" applyProtection="1">
      <protection locked="0"/>
    </xf>
    <xf numFmtId="43" fontId="9" fillId="11" borderId="1" xfId="0" applyNumberFormat="1" applyFont="1" applyFill="1" applyBorder="1"/>
    <xf numFmtId="0" fontId="10" fillId="6" borderId="1" xfId="0" applyFont="1" applyFill="1" applyBorder="1"/>
    <xf numFmtId="43" fontId="10" fillId="6" borderId="1" xfId="0" applyNumberFormat="1" applyFont="1" applyFill="1" applyBorder="1"/>
    <xf numFmtId="9" fontId="4" fillId="0" borderId="0" xfId="1" applyFont="1" applyProtection="1">
      <protection locked="0"/>
    </xf>
    <xf numFmtId="0" fontId="27" fillId="7" borderId="1" xfId="0" applyFont="1" applyFill="1" applyBorder="1" applyAlignment="1">
      <alignment horizontal="center" wrapText="1"/>
    </xf>
    <xf numFmtId="164" fontId="27" fillId="7" borderId="1" xfId="2" applyNumberFormat="1" applyFont="1" applyFill="1" applyBorder="1" applyAlignment="1">
      <alignment horizontal="center"/>
    </xf>
    <xf numFmtId="0" fontId="27" fillId="21" borderId="1" xfId="0" applyFont="1" applyFill="1" applyBorder="1"/>
    <xf numFmtId="0" fontId="27" fillId="21" borderId="1" xfId="0" applyFont="1" applyFill="1" applyBorder="1" applyAlignment="1">
      <alignment horizontal="center"/>
    </xf>
    <xf numFmtId="43" fontId="27" fillId="21" borderId="1" xfId="0" applyNumberFormat="1" applyFont="1" applyFill="1" applyBorder="1" applyAlignment="1">
      <alignment horizontal="center"/>
    </xf>
    <xf numFmtId="0" fontId="0" fillId="0" borderId="22" xfId="0" applyFill="1" applyBorder="1"/>
    <xf numFmtId="0" fontId="10" fillId="6" borderId="22" xfId="0" applyFont="1" applyFill="1" applyBorder="1"/>
    <xf numFmtId="43" fontId="10" fillId="6" borderId="24" xfId="2" applyFont="1" applyFill="1" applyBorder="1" applyProtection="1">
      <protection locked="0"/>
    </xf>
    <xf numFmtId="43" fontId="10" fillId="6" borderId="24" xfId="0" applyNumberFormat="1" applyFont="1" applyFill="1" applyBorder="1"/>
    <xf numFmtId="0" fontId="36" fillId="0" borderId="13" xfId="4" applyFont="1" applyBorder="1" applyAlignment="1">
      <alignment horizontal="center"/>
    </xf>
    <xf numFmtId="0" fontId="36" fillId="0" borderId="17" xfId="4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7" fillId="9" borderId="13" xfId="4" applyFont="1" applyFill="1" applyBorder="1" applyAlignment="1">
      <alignment horizontal="center" vertical="center" wrapText="1"/>
    </xf>
    <xf numFmtId="0" fontId="37" fillId="9" borderId="17" xfId="4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8" fillId="15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7" fontId="24" fillId="7" borderId="0" xfId="0" applyNumberFormat="1" applyFont="1" applyFill="1" applyBorder="1" applyAlignment="1">
      <alignment horizontal="center"/>
    </xf>
    <xf numFmtId="0" fontId="24" fillId="7" borderId="0" xfId="0" applyFont="1" applyFill="1" applyBorder="1" applyAlignment="1">
      <alignment horizontal="center"/>
    </xf>
    <xf numFmtId="0" fontId="38" fillId="4" borderId="13" xfId="0" applyFont="1" applyFill="1" applyBorder="1" applyAlignment="1">
      <alignment horizontal="center" vertical="center" wrapText="1"/>
    </xf>
    <xf numFmtId="0" fontId="38" fillId="4" borderId="17" xfId="0" applyFont="1" applyFill="1" applyBorder="1" applyAlignment="1">
      <alignment horizontal="center" vertical="center" wrapText="1"/>
    </xf>
    <xf numFmtId="0" fontId="38" fillId="4" borderId="30" xfId="0" applyFont="1" applyFill="1" applyBorder="1" applyAlignment="1">
      <alignment horizontal="center"/>
    </xf>
  </cellXfs>
  <cellStyles count="5">
    <cellStyle name="Comma" xfId="2" builtinId="3"/>
    <cellStyle name="Hyperlink" xfId="4" builtinId="8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232838</xdr:colOff>
      <xdr:row>2</xdr:row>
      <xdr:rowOff>23470</xdr:rowOff>
    </xdr:from>
    <xdr:to>
      <xdr:col>1</xdr:col>
      <xdr:colOff>1085851</xdr:colOff>
      <xdr:row>4</xdr:row>
      <xdr:rowOff>37006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8" y="404470"/>
          <a:ext cx="1529288" cy="4707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NOMINAS/2021/N&#243;mina%202021/Enero/Planilla%20Calculo%20de%20la%20Nomina%20Ener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NOMINAS/2021/N&#243;mina%202021/Febrero/Planilla%20Calculo%20de%20la%20Nomina%20Febrer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NOMINAS/2021/N&#243;mina%202021/Marzo/Planilla%20Calculo%20de%20la%20Nomina%20Marzo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NOMINAS/2021/N&#243;mina%202021/Abril/Planilla%20Calculo%20de%20la%20Nomina%20Abril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2/Presupuesto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2/Proyecci&#243;n%20de%20N&#243;mina%202022%20vac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EBRERO 2021"/>
      <sheetName val="Ene Fija"/>
      <sheetName val="Feb. Adicional Ene"/>
      <sheetName val="Ene Cont."/>
      <sheetName val="Contratados Adic"/>
      <sheetName val="Ene Prob."/>
      <sheetName val="Ene Seg."/>
      <sheetName val="Ene Adicional"/>
      <sheetName val="Suplencia"/>
      <sheetName val="Resumen de Nómina"/>
    </sheetNames>
    <sheetDataSet>
      <sheetData sheetId="0"/>
      <sheetData sheetId="1"/>
      <sheetData sheetId="2"/>
      <sheetData sheetId="3">
        <row r="62">
          <cell r="E62">
            <v>1730250</v>
          </cell>
        </row>
        <row r="88">
          <cell r="E88">
            <v>978333.33000000007</v>
          </cell>
        </row>
        <row r="102">
          <cell r="E102">
            <v>393500</v>
          </cell>
        </row>
      </sheetData>
      <sheetData sheetId="4"/>
      <sheetData sheetId="5">
        <row r="29">
          <cell r="E29">
            <v>1085000</v>
          </cell>
        </row>
        <row r="41">
          <cell r="E41">
            <v>231000</v>
          </cell>
        </row>
        <row r="47">
          <cell r="E47">
            <v>36000</v>
          </cell>
        </row>
      </sheetData>
      <sheetData sheetId="6"/>
      <sheetData sheetId="7">
        <row r="8">
          <cell r="E8">
            <v>180000</v>
          </cell>
        </row>
      </sheetData>
      <sheetData sheetId="8">
        <row r="24">
          <cell r="E24">
            <v>705500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EBRERO 2021"/>
      <sheetName val="Feb. Fija"/>
      <sheetName val="Fijo Adicional Ene"/>
      <sheetName val="Contratados Adic feb"/>
      <sheetName val="Feb. Cont."/>
      <sheetName val="Contratados Adic ene"/>
      <sheetName val="Feb. Prob."/>
      <sheetName val="Feb. Seg."/>
      <sheetName val="Feb. Adicional segurid"/>
      <sheetName val="Suplencia"/>
    </sheetNames>
    <sheetDataSet>
      <sheetData sheetId="0"/>
      <sheetData sheetId="1"/>
      <sheetData sheetId="2"/>
      <sheetData sheetId="3">
        <row r="63">
          <cell r="E63">
            <v>1911000</v>
          </cell>
        </row>
        <row r="88">
          <cell r="E88">
            <v>902500</v>
          </cell>
        </row>
        <row r="102">
          <cell r="E102">
            <v>381000</v>
          </cell>
        </row>
      </sheetData>
      <sheetData sheetId="4">
        <row r="9">
          <cell r="E9">
            <v>14300</v>
          </cell>
        </row>
      </sheetData>
      <sheetData sheetId="5">
        <row r="10">
          <cell r="E10">
            <v>213000</v>
          </cell>
        </row>
        <row r="16">
          <cell r="E16">
            <v>140000</v>
          </cell>
        </row>
      </sheetData>
      <sheetData sheetId="6">
        <row r="36">
          <cell r="E36">
            <v>1386000</v>
          </cell>
        </row>
        <row r="48">
          <cell r="E48">
            <v>231000</v>
          </cell>
        </row>
        <row r="54">
          <cell r="E54">
            <v>36000</v>
          </cell>
        </row>
      </sheetData>
      <sheetData sheetId="7">
        <row r="17">
          <cell r="E17">
            <v>247000</v>
          </cell>
        </row>
        <row r="23">
          <cell r="E23">
            <v>88666.67</v>
          </cell>
        </row>
        <row r="25">
          <cell r="E25">
            <v>335666.67</v>
          </cell>
        </row>
      </sheetData>
      <sheetData sheetId="8">
        <row r="8">
          <cell r="E8">
            <v>180000</v>
          </cell>
        </row>
      </sheetData>
      <sheetData sheetId="9">
        <row r="25">
          <cell r="E25">
            <v>598000</v>
          </cell>
        </row>
      </sheetData>
      <sheetData sheetId="10">
        <row r="7">
          <cell r="E7">
            <v>30000</v>
          </cell>
        </row>
      </sheetData>
      <sheetData sheetId="11">
        <row r="9">
          <cell r="D9">
            <v>27500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Adicional Fijo"/>
      <sheetName val="Contratado."/>
      <sheetName val="Adicional Contratado"/>
      <sheetName val="Probatoria"/>
      <sheetName val="Seguridad"/>
      <sheetName val="Suplencia"/>
      <sheetName val="Caracter eventual"/>
    </sheetNames>
    <sheetDataSet>
      <sheetData sheetId="0"/>
      <sheetData sheetId="1"/>
      <sheetData sheetId="2">
        <row r="57">
          <cell r="E57">
            <v>1638250</v>
          </cell>
        </row>
        <row r="82">
          <cell r="E82">
            <v>948000</v>
          </cell>
        </row>
        <row r="96">
          <cell r="E96">
            <v>381000</v>
          </cell>
        </row>
      </sheetData>
      <sheetData sheetId="3"/>
      <sheetData sheetId="4">
        <row r="35">
          <cell r="E35">
            <v>1078000</v>
          </cell>
        </row>
        <row r="49">
          <cell r="E49">
            <v>384000</v>
          </cell>
        </row>
        <row r="56">
          <cell r="E56">
            <v>176000</v>
          </cell>
        </row>
      </sheetData>
      <sheetData sheetId="5"/>
      <sheetData sheetId="6">
        <row r="8">
          <cell r="E8">
            <v>180000</v>
          </cell>
        </row>
      </sheetData>
      <sheetData sheetId="7">
        <row r="34">
          <cell r="E34">
            <v>697833.33</v>
          </cell>
        </row>
      </sheetData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ovedades"/>
      <sheetName val="Fija"/>
      <sheetName val="Fija Adicional"/>
      <sheetName val="Contratado."/>
      <sheetName val="Probatoria"/>
      <sheetName val="Seguridad"/>
      <sheetName val="Adicional"/>
      <sheetName val="Suplencia"/>
      <sheetName val="Caracter eventual"/>
    </sheetNames>
    <sheetDataSet>
      <sheetData sheetId="0"/>
      <sheetData sheetId="1"/>
      <sheetData sheetId="2">
        <row r="64">
          <cell r="E64">
            <v>1801250</v>
          </cell>
        </row>
        <row r="89">
          <cell r="E89">
            <v>977000</v>
          </cell>
        </row>
        <row r="107">
          <cell r="E107">
            <v>381000</v>
          </cell>
        </row>
      </sheetData>
      <sheetData sheetId="3">
        <row r="11">
          <cell r="E11">
            <v>18333.330000000002</v>
          </cell>
        </row>
      </sheetData>
      <sheetData sheetId="4">
        <row r="40">
          <cell r="E40">
            <v>1145666.67</v>
          </cell>
        </row>
        <row r="57">
          <cell r="E57">
            <v>657000</v>
          </cell>
        </row>
        <row r="63">
          <cell r="E63">
            <v>140000</v>
          </cell>
        </row>
      </sheetData>
      <sheetData sheetId="5">
        <row r="14">
          <cell r="E14">
            <v>180000</v>
          </cell>
        </row>
      </sheetData>
      <sheetData sheetId="6">
        <row r="31">
          <cell r="E31">
            <v>686000</v>
          </cell>
        </row>
      </sheetData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2"/>
      <sheetName val="PRESUPUESTO"/>
      <sheetName val="Reporte Devengado Aprobado"/>
      <sheetName val="Planilla de presupuesto"/>
      <sheetName val="Sheet2"/>
    </sheetNames>
    <sheetDataSet>
      <sheetData sheetId="0">
        <row r="205">
          <cell r="E205">
            <v>210268584.26999998</v>
          </cell>
        </row>
        <row r="208">
          <cell r="Y208">
            <v>207317150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Sheet1"/>
      <sheetName val="Junio"/>
      <sheetName val="Producto 01"/>
      <sheetName val="Análisis"/>
      <sheetName val="Coordinación"/>
      <sheetName val="Proyeccion Nomina DIGEPRES"/>
      <sheetName val="Contratado"/>
      <sheetName val="Nuevo Ingreso"/>
      <sheetName val="Sustitución Personal"/>
      <sheetName val="Vacantes 2021"/>
      <sheetName val="Sheet2"/>
      <sheetName val="Eventual "/>
      <sheetName val="Fijo"/>
      <sheetName val="Seguridad"/>
      <sheetName val="Probatorio"/>
      <sheetName val="Regalia"/>
      <sheetName val="TS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M6">
            <v>3614533.33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leny aristy" id="{22AD3581-1C30-4AAD-BB68-8D43E74E3101}" userId="S::maristy@uafgobdo.onmicrosoft.com::aa746ed6-2fd1-4525-9467-93c47255587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72" dT="2021-07-20T17:27:06.09" personId="{22AD3581-1C30-4AAD-BB68-8D43E74E3101}" id="{3A983F4A-7A9F-4A10-8733-CB1D92CAF3B3}">
    <text>Gafilat cuota pleno 50K  FIBA 700, Edmon 5,186 todos montos USD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Z292"/>
  <sheetViews>
    <sheetView showGridLines="0" zoomScale="80" zoomScaleNormal="80" workbookViewId="0">
      <pane xSplit="4" ySplit="11" topLeftCell="R190" activePane="bottomRight" state="frozen"/>
      <selection pane="topRight" activeCell="E1" sqref="E1"/>
      <selection pane="bottomLeft" activeCell="A12" sqref="A12"/>
      <selection pane="bottomRight" activeCell="U9" sqref="U9"/>
    </sheetView>
  </sheetViews>
  <sheetFormatPr defaultColWidth="11.42578125" defaultRowHeight="15" x14ac:dyDescent="0.25"/>
  <cols>
    <col min="1" max="1" width="1.28515625" customWidth="1"/>
    <col min="2" max="2" width="4.140625" customWidth="1"/>
    <col min="3" max="3" width="14.7109375" customWidth="1"/>
    <col min="4" max="4" width="44.28515625" customWidth="1"/>
    <col min="5" max="5" width="19.85546875" customWidth="1"/>
    <col min="6" max="6" width="21.28515625" customWidth="1"/>
    <col min="7" max="8" width="19.85546875" customWidth="1"/>
    <col min="9" max="9" width="21" customWidth="1"/>
    <col min="10" max="14" width="19.85546875" customWidth="1"/>
    <col min="15" max="15" width="21.42578125" customWidth="1"/>
    <col min="16" max="16" width="19.85546875" customWidth="1"/>
    <col min="17" max="17" width="25.5703125" customWidth="1"/>
    <col min="18" max="18" width="18.140625" customWidth="1"/>
    <col min="19" max="19" width="48.5703125" customWidth="1"/>
    <col min="20" max="20" width="25.5703125" customWidth="1"/>
    <col min="21" max="21" width="28.7109375" bestFit="1" customWidth="1"/>
    <col min="22" max="22" width="16.42578125" customWidth="1"/>
    <col min="23" max="23" width="60.5703125" customWidth="1"/>
    <col min="24" max="24" width="18.7109375" customWidth="1"/>
    <col min="25" max="26" width="20.140625" customWidth="1"/>
    <col min="27" max="27" width="18.7109375" customWidth="1"/>
    <col min="28" max="31" width="20.140625" customWidth="1"/>
    <col min="32" max="32" width="21.5703125" customWidth="1"/>
    <col min="33" max="34" width="20.140625" customWidth="1"/>
    <col min="35" max="35" width="18.7109375" customWidth="1"/>
    <col min="36" max="36" width="20.140625" customWidth="1"/>
    <col min="37" max="37" width="21.5703125" customWidth="1"/>
    <col min="38" max="38" width="26.7109375" style="115" customWidth="1"/>
    <col min="39" max="39" width="16.28515625" customWidth="1"/>
    <col min="40" max="40" width="15.140625" customWidth="1"/>
    <col min="41" max="41" width="22.140625" customWidth="1"/>
    <col min="42" max="42" width="21.5703125" customWidth="1"/>
    <col min="43" max="45" width="20.140625" customWidth="1"/>
    <col min="46" max="47" width="21.5703125" customWidth="1"/>
    <col min="48" max="48" width="26" customWidth="1"/>
    <col min="49" max="49" width="13.85546875" customWidth="1"/>
    <col min="52" max="52" width="15.140625" bestFit="1" customWidth="1"/>
  </cols>
  <sheetData>
    <row r="2" spans="1:52" x14ac:dyDescent="0.25">
      <c r="E2" s="52"/>
    </row>
    <row r="3" spans="1:52" x14ac:dyDescent="0.25">
      <c r="A3" s="53"/>
      <c r="E3" s="50"/>
      <c r="T3" s="3">
        <f>44000*6</f>
        <v>264000</v>
      </c>
    </row>
    <row r="4" spans="1:52" ht="30" x14ac:dyDescent="0.45">
      <c r="B4" s="54"/>
      <c r="C4" s="270" t="s">
        <v>389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156"/>
      <c r="S4" s="156"/>
      <c r="T4" s="156"/>
      <c r="U4" s="181">
        <f>+U9/12</f>
        <v>3396376.3858333337</v>
      </c>
    </row>
    <row r="5" spans="1:52" ht="23.25" x14ac:dyDescent="0.35">
      <c r="B5" s="54"/>
      <c r="C5" s="271" t="s">
        <v>390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157"/>
      <c r="S5" s="157"/>
      <c r="T5" s="157"/>
      <c r="U5" s="159"/>
      <c r="AO5" t="s">
        <v>596</v>
      </c>
    </row>
    <row r="6" spans="1:52" ht="21" x14ac:dyDescent="0.35">
      <c r="B6" s="54"/>
      <c r="C6" s="272" t="s">
        <v>391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3" t="s">
        <v>567</v>
      </c>
      <c r="S6" s="273"/>
      <c r="T6" s="273"/>
      <c r="U6" s="160" t="s">
        <v>578</v>
      </c>
      <c r="V6" s="272" t="s">
        <v>545</v>
      </c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O6">
        <v>5</v>
      </c>
    </row>
    <row r="7" spans="1:52" ht="15.75" thickBot="1" x14ac:dyDescent="0.3"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0"/>
      <c r="Y7" s="134">
        <f>+Y9-3208800</f>
        <v>0</v>
      </c>
      <c r="AB7" s="161">
        <v>7.0900000000000005E-2</v>
      </c>
      <c r="AC7" s="161">
        <v>7.0999999999999994E-2</v>
      </c>
      <c r="AD7" s="161">
        <v>1.0999999999999999E-2</v>
      </c>
    </row>
    <row r="8" spans="1:52" ht="37.5" customHeight="1" thickBot="1" x14ac:dyDescent="0.4">
      <c r="B8" s="54"/>
      <c r="C8" s="56" t="s">
        <v>392</v>
      </c>
      <c r="D8" s="57" t="s">
        <v>393</v>
      </c>
      <c r="E8" s="57" t="s">
        <v>66</v>
      </c>
      <c r="F8" s="57" t="s">
        <v>63</v>
      </c>
      <c r="G8" s="57" t="s">
        <v>73</v>
      </c>
      <c r="H8" s="57" t="s">
        <v>74</v>
      </c>
      <c r="I8" s="57" t="s">
        <v>75</v>
      </c>
      <c r="J8" s="57" t="s">
        <v>76</v>
      </c>
      <c r="K8" s="57" t="s">
        <v>77</v>
      </c>
      <c r="L8" s="57" t="s">
        <v>78</v>
      </c>
      <c r="M8" s="57" t="s">
        <v>79</v>
      </c>
      <c r="N8" s="57" t="s">
        <v>80</v>
      </c>
      <c r="O8" s="57" t="s">
        <v>81</v>
      </c>
      <c r="P8" s="57" t="s">
        <v>82</v>
      </c>
      <c r="Q8" s="58" t="s">
        <v>62</v>
      </c>
      <c r="R8" s="158" t="s">
        <v>392</v>
      </c>
      <c r="S8" s="158" t="s">
        <v>393</v>
      </c>
      <c r="T8" s="158" t="s">
        <v>568</v>
      </c>
      <c r="U8" s="186" t="s">
        <v>579</v>
      </c>
      <c r="V8" s="125" t="s">
        <v>392</v>
      </c>
      <c r="W8" s="123" t="s">
        <v>393</v>
      </c>
      <c r="X8" s="123" t="s">
        <v>66</v>
      </c>
      <c r="Y8" s="123" t="s">
        <v>63</v>
      </c>
      <c r="Z8" s="123" t="s">
        <v>73</v>
      </c>
      <c r="AA8" s="123" t="s">
        <v>74</v>
      </c>
      <c r="AB8" s="123" t="s">
        <v>75</v>
      </c>
      <c r="AC8" s="123" t="s">
        <v>76</v>
      </c>
      <c r="AD8" s="123" t="s">
        <v>77</v>
      </c>
      <c r="AE8" s="123" t="s">
        <v>78</v>
      </c>
      <c r="AF8" s="123" t="s">
        <v>79</v>
      </c>
      <c r="AG8" s="123" t="s">
        <v>80</v>
      </c>
      <c r="AH8" s="123" t="s">
        <v>81</v>
      </c>
      <c r="AI8" s="123" t="s">
        <v>82</v>
      </c>
      <c r="AJ8" s="124" t="s">
        <v>62</v>
      </c>
      <c r="AK8" s="198" t="s">
        <v>592</v>
      </c>
      <c r="AO8" s="212" t="s">
        <v>595</v>
      </c>
      <c r="AP8" s="213" t="s">
        <v>78</v>
      </c>
      <c r="AQ8" s="213" t="s">
        <v>79</v>
      </c>
      <c r="AR8" s="213" t="s">
        <v>80</v>
      </c>
      <c r="AS8" s="213" t="s">
        <v>81</v>
      </c>
      <c r="AT8" s="213" t="s">
        <v>82</v>
      </c>
      <c r="AU8" s="213" t="s">
        <v>62</v>
      </c>
      <c r="AV8" s="211" t="s">
        <v>597</v>
      </c>
      <c r="AZ8" s="50">
        <f>+U124+U126+U128</f>
        <v>2669651</v>
      </c>
    </row>
    <row r="9" spans="1:52" s="59" customFormat="1" ht="28.5" customHeight="1" thickBot="1" x14ac:dyDescent="0.35">
      <c r="C9" s="133" t="s">
        <v>88</v>
      </c>
      <c r="D9" s="60" t="s">
        <v>89</v>
      </c>
      <c r="E9" s="61">
        <f t="shared" ref="E9:P9" si="0">SUM(E10:E12)</f>
        <v>3950150</v>
      </c>
      <c r="F9" s="61">
        <f t="shared" si="0"/>
        <v>3950150</v>
      </c>
      <c r="G9" s="61">
        <f t="shared" si="0"/>
        <v>3950150</v>
      </c>
      <c r="H9" s="61">
        <f t="shared" si="0"/>
        <v>3950150</v>
      </c>
      <c r="I9" s="61">
        <f t="shared" si="0"/>
        <v>3950150</v>
      </c>
      <c r="J9" s="61">
        <f t="shared" si="0"/>
        <v>3950150</v>
      </c>
      <c r="K9" s="61">
        <f t="shared" si="0"/>
        <v>3950150</v>
      </c>
      <c r="L9" s="61">
        <f t="shared" si="0"/>
        <v>3950150</v>
      </c>
      <c r="M9" s="61">
        <f t="shared" si="0"/>
        <v>3950150</v>
      </c>
      <c r="N9" s="61">
        <f t="shared" si="0"/>
        <v>3950150</v>
      </c>
      <c r="O9" s="61">
        <f t="shared" si="0"/>
        <v>3950150</v>
      </c>
      <c r="P9" s="61">
        <f t="shared" si="0"/>
        <v>3950150</v>
      </c>
      <c r="Q9" s="168">
        <f t="shared" ref="Q9:Q25" si="1">SUM(E9:P9)</f>
        <v>47401800</v>
      </c>
      <c r="R9" s="175" t="s">
        <v>88</v>
      </c>
      <c r="S9" s="175" t="s">
        <v>89</v>
      </c>
      <c r="T9" s="176">
        <v>-6645283.3700000001</v>
      </c>
      <c r="U9" s="180">
        <f t="shared" ref="U9:U17" si="2">+Q9+T9</f>
        <v>40756516.630000003</v>
      </c>
      <c r="V9" s="172" t="s">
        <v>88</v>
      </c>
      <c r="W9" s="126" t="s">
        <v>89</v>
      </c>
      <c r="X9" s="127">
        <f t="shared" ref="X9:AC9" si="3">SUM(X10:X12)</f>
        <v>3102083.33</v>
      </c>
      <c r="Y9" s="127">
        <f t="shared" si="3"/>
        <v>3208800</v>
      </c>
      <c r="Z9" s="127">
        <f t="shared" si="3"/>
        <v>2967250</v>
      </c>
      <c r="AA9" s="127">
        <f t="shared" si="3"/>
        <v>3177583.33</v>
      </c>
      <c r="AB9" s="127">
        <f t="shared" si="3"/>
        <v>2971316.66</v>
      </c>
      <c r="AC9" s="127">
        <f t="shared" si="3"/>
        <v>2595750</v>
      </c>
      <c r="AD9" s="127">
        <v>2630750</v>
      </c>
      <c r="AE9" s="127">
        <v>2634318.8199999998</v>
      </c>
      <c r="AF9" s="127">
        <f>+'Reporte Devengado Aprobado'!L18</f>
        <v>2536250</v>
      </c>
      <c r="AG9" s="127">
        <v>2570750</v>
      </c>
      <c r="AH9" s="127">
        <f>SUM(AH10:AH12)</f>
        <v>0</v>
      </c>
      <c r="AI9" s="127">
        <f>SUM(AI10:AI12)</f>
        <v>0</v>
      </c>
      <c r="AJ9" s="128">
        <f>SUM(X9:AI9)</f>
        <v>28394852.140000001</v>
      </c>
      <c r="AK9" s="128">
        <f t="shared" ref="AK9:AK40" si="4">+U9-AJ9</f>
        <v>12361664.490000002</v>
      </c>
      <c r="AL9" s="204">
        <f>IFERROR(AJ9/U9,0)</f>
        <v>0.69669477393706303</v>
      </c>
      <c r="AN9"/>
      <c r="AO9" s="131">
        <f>+AG9</f>
        <v>2570750</v>
      </c>
      <c r="AP9" s="131">
        <f>+AO9</f>
        <v>2570750</v>
      </c>
      <c r="AQ9" s="131">
        <f>+AP9+6000</f>
        <v>2576750</v>
      </c>
      <c r="AR9" s="131">
        <f t="shared" ref="AR9:AT9" si="5">+AQ9</f>
        <v>2576750</v>
      </c>
      <c r="AS9" s="131">
        <f t="shared" si="5"/>
        <v>2576750</v>
      </c>
      <c r="AT9" s="131">
        <f t="shared" si="5"/>
        <v>2576750</v>
      </c>
      <c r="AU9" s="131">
        <f>SUM(AQ9:AT9)</f>
        <v>10307000</v>
      </c>
      <c r="AV9" s="217">
        <f>+AK9-AU9</f>
        <v>2054664.4900000021</v>
      </c>
      <c r="AW9" s="59">
        <f>140000+65000</f>
        <v>205000</v>
      </c>
    </row>
    <row r="10" spans="1:52" s="59" customFormat="1" ht="34.5" customHeight="1" thickBot="1" x14ac:dyDescent="0.3">
      <c r="C10" s="62" t="s">
        <v>394</v>
      </c>
      <c r="D10" s="63" t="s">
        <v>395</v>
      </c>
      <c r="E10" s="64">
        <v>2319150</v>
      </c>
      <c r="F10" s="64">
        <v>2319150</v>
      </c>
      <c r="G10" s="64">
        <v>2319150</v>
      </c>
      <c r="H10" s="64">
        <v>2319150</v>
      </c>
      <c r="I10" s="64">
        <v>2319150</v>
      </c>
      <c r="J10" s="64">
        <v>2319150</v>
      </c>
      <c r="K10" s="64">
        <v>2319150</v>
      </c>
      <c r="L10" s="64">
        <v>2319150</v>
      </c>
      <c r="M10" s="64">
        <v>2319150</v>
      </c>
      <c r="N10" s="64">
        <v>2319150</v>
      </c>
      <c r="O10" s="64">
        <v>2319150</v>
      </c>
      <c r="P10" s="64">
        <v>2319150</v>
      </c>
      <c r="Q10" s="163">
        <f t="shared" si="1"/>
        <v>27829800</v>
      </c>
      <c r="R10" s="165" t="s">
        <v>394</v>
      </c>
      <c r="S10" s="165" t="s">
        <v>395</v>
      </c>
      <c r="T10" s="166"/>
      <c r="U10" s="181">
        <f t="shared" si="2"/>
        <v>27829800</v>
      </c>
      <c r="V10" s="164" t="s">
        <v>394</v>
      </c>
      <c r="W10" s="63" t="s">
        <v>395</v>
      </c>
      <c r="X10" s="64">
        <f>+'[1]Ene Fija'!$E$62</f>
        <v>1730250</v>
      </c>
      <c r="Y10" s="64">
        <f>+'[2]Feb. Fija'!$E$63+'[2]Fijo Adicional Ene'!$E$9</f>
        <v>1925300</v>
      </c>
      <c r="Z10" s="64">
        <f>+[3]Fija!$E$57</f>
        <v>1638250</v>
      </c>
      <c r="AA10" s="64">
        <f>+[4]Fija!$E$64+'[4]Fija Adicional'!$E$11</f>
        <v>1819583.33</v>
      </c>
      <c r="AB10" s="206">
        <v>1628083.33</v>
      </c>
      <c r="AC10" s="162">
        <v>1413750</v>
      </c>
      <c r="AD10" s="64"/>
      <c r="AE10" s="64"/>
      <c r="AF10" s="64"/>
      <c r="AG10" s="64"/>
      <c r="AH10" s="64"/>
      <c r="AI10" s="64"/>
      <c r="AJ10" s="65">
        <f>SUM(X10:AI10)</f>
        <v>10155216.66</v>
      </c>
      <c r="AK10" s="65"/>
      <c r="AL10" s="205">
        <f t="shared" ref="AL10:AL73" si="6">IFERROR(AJ10/U10,0)</f>
        <v>0.36490440678696939</v>
      </c>
      <c r="AN10"/>
      <c r="AO10" s="214"/>
      <c r="AP10" s="214"/>
      <c r="AQ10" s="214"/>
      <c r="AR10" s="214"/>
      <c r="AS10" s="214"/>
      <c r="AT10" s="214"/>
      <c r="AU10" s="214"/>
      <c r="AV10" s="214"/>
      <c r="AW10" s="59">
        <v>4</v>
      </c>
    </row>
    <row r="11" spans="1:52" s="59" customFormat="1" ht="26.25" customHeight="1" thickBot="1" x14ac:dyDescent="0.3">
      <c r="C11" s="62" t="s">
        <v>396</v>
      </c>
      <c r="D11" s="63" t="s">
        <v>397</v>
      </c>
      <c r="E11" s="64">
        <v>1061000</v>
      </c>
      <c r="F11" s="64">
        <v>1061000</v>
      </c>
      <c r="G11" s="64">
        <v>1061000</v>
      </c>
      <c r="H11" s="64">
        <v>1061000</v>
      </c>
      <c r="I11" s="64">
        <v>1061000</v>
      </c>
      <c r="J11" s="64">
        <v>1061000</v>
      </c>
      <c r="K11" s="64">
        <v>1061000</v>
      </c>
      <c r="L11" s="64">
        <v>1061000</v>
      </c>
      <c r="M11" s="64">
        <v>1061000</v>
      </c>
      <c r="N11" s="64">
        <v>1061000</v>
      </c>
      <c r="O11" s="64">
        <v>1061000</v>
      </c>
      <c r="P11" s="64">
        <v>1061000</v>
      </c>
      <c r="Q11" s="163">
        <f t="shared" si="1"/>
        <v>12732000</v>
      </c>
      <c r="R11" s="165" t="s">
        <v>396</v>
      </c>
      <c r="S11" s="165" t="s">
        <v>397</v>
      </c>
      <c r="T11" s="203"/>
      <c r="U11" s="181">
        <f t="shared" si="2"/>
        <v>12732000</v>
      </c>
      <c r="V11" s="164" t="s">
        <v>396</v>
      </c>
      <c r="W11" s="63" t="s">
        <v>397</v>
      </c>
      <c r="X11" s="64">
        <f>+'[1]Ene Fija'!$E$88</f>
        <v>978333.33000000007</v>
      </c>
      <c r="Y11" s="64">
        <f>+'[2]Feb. Fija'!$E$88</f>
        <v>902500</v>
      </c>
      <c r="Z11" s="64">
        <f>+[3]Fija!$E$82</f>
        <v>948000</v>
      </c>
      <c r="AA11" s="64">
        <f>+[4]Fija!$E$89</f>
        <v>977000</v>
      </c>
      <c r="AB11" s="162">
        <v>1043733.33</v>
      </c>
      <c r="AC11" s="64">
        <v>938500</v>
      </c>
      <c r="AD11" s="64"/>
      <c r="AE11" s="64"/>
      <c r="AF11" s="64"/>
      <c r="AG11" s="64"/>
      <c r="AH11" s="64"/>
      <c r="AI11" s="64"/>
      <c r="AJ11" s="65">
        <f t="shared" ref="AJ11:AJ73" si="7">SUM(X11:AI11)</f>
        <v>5788066.6600000001</v>
      </c>
      <c r="AK11" s="65"/>
      <c r="AL11" s="205">
        <f t="shared" si="6"/>
        <v>0.45460781181275528</v>
      </c>
      <c r="AN11"/>
      <c r="AO11" s="214"/>
      <c r="AP11" s="214"/>
      <c r="AQ11" s="214"/>
      <c r="AR11" s="214"/>
      <c r="AS11" s="214"/>
      <c r="AT11" s="214"/>
      <c r="AU11" s="214"/>
      <c r="AV11" s="214"/>
      <c r="AW11" s="94">
        <f>+AW10*AW9</f>
        <v>820000</v>
      </c>
    </row>
    <row r="12" spans="1:52" s="59" customFormat="1" ht="25.5" customHeight="1" x14ac:dyDescent="0.25">
      <c r="C12" s="62" t="s">
        <v>398</v>
      </c>
      <c r="D12" s="63" t="s">
        <v>399</v>
      </c>
      <c r="E12" s="64">
        <v>570000</v>
      </c>
      <c r="F12" s="64">
        <v>570000</v>
      </c>
      <c r="G12" s="64">
        <v>570000</v>
      </c>
      <c r="H12" s="64">
        <v>570000</v>
      </c>
      <c r="I12" s="64">
        <v>570000</v>
      </c>
      <c r="J12" s="64">
        <v>570000</v>
      </c>
      <c r="K12" s="64">
        <v>570000</v>
      </c>
      <c r="L12" s="64">
        <v>570000</v>
      </c>
      <c r="M12" s="64">
        <v>570000</v>
      </c>
      <c r="N12" s="64">
        <v>570000</v>
      </c>
      <c r="O12" s="64">
        <v>570000</v>
      </c>
      <c r="P12" s="64">
        <v>570000</v>
      </c>
      <c r="Q12" s="163">
        <f t="shared" si="1"/>
        <v>6840000</v>
      </c>
      <c r="R12" s="165" t="s">
        <v>398</v>
      </c>
      <c r="S12" s="165" t="s">
        <v>399</v>
      </c>
      <c r="T12" s="167"/>
      <c r="U12" s="181">
        <f t="shared" si="2"/>
        <v>6840000</v>
      </c>
      <c r="V12" s="164" t="s">
        <v>398</v>
      </c>
      <c r="W12" s="63" t="s">
        <v>399</v>
      </c>
      <c r="X12" s="64">
        <f>+'[1]Ene Fija'!$E$102</f>
        <v>393500</v>
      </c>
      <c r="Y12" s="64">
        <f>+'[2]Feb. Fija'!$E$102</f>
        <v>381000</v>
      </c>
      <c r="Z12" s="64">
        <f>+[3]Fija!$E$96</f>
        <v>381000</v>
      </c>
      <c r="AA12" s="64">
        <f>+[4]Fija!$E$107</f>
        <v>381000</v>
      </c>
      <c r="AB12" s="64">
        <v>299500</v>
      </c>
      <c r="AC12" s="64">
        <v>243500</v>
      </c>
      <c r="AD12" s="64"/>
      <c r="AE12" s="64"/>
      <c r="AF12" s="64"/>
      <c r="AG12" s="64"/>
      <c r="AH12" s="64"/>
      <c r="AI12" s="64"/>
      <c r="AJ12" s="65">
        <f t="shared" si="7"/>
        <v>2079500</v>
      </c>
      <c r="AK12" s="65"/>
      <c r="AL12" s="205">
        <f t="shared" si="6"/>
        <v>0.3040204678362573</v>
      </c>
      <c r="AN12"/>
      <c r="AO12" s="214"/>
      <c r="AP12" s="214"/>
      <c r="AQ12" s="214"/>
      <c r="AR12" s="214"/>
      <c r="AS12" s="214"/>
      <c r="AT12" s="214"/>
      <c r="AU12" s="214"/>
      <c r="AV12" s="214"/>
      <c r="AW12" s="210">
        <f>+AV9-AW11</f>
        <v>1234664.4900000021</v>
      </c>
    </row>
    <row r="13" spans="1:52" s="59" customFormat="1" ht="30" x14ac:dyDescent="0.3">
      <c r="C13" s="66" t="s">
        <v>96</v>
      </c>
      <c r="D13" s="67" t="s">
        <v>400</v>
      </c>
      <c r="E13" s="68">
        <f t="shared" ref="E13:P13" si="8">SUM(E14:E16)</f>
        <v>300000</v>
      </c>
      <c r="F13" s="68">
        <f t="shared" si="8"/>
        <v>300000</v>
      </c>
      <c r="G13" s="68">
        <f t="shared" si="8"/>
        <v>300000</v>
      </c>
      <c r="H13" s="68">
        <f t="shared" si="8"/>
        <v>300000</v>
      </c>
      <c r="I13" s="68">
        <f t="shared" si="8"/>
        <v>300000</v>
      </c>
      <c r="J13" s="68">
        <f t="shared" si="8"/>
        <v>300000</v>
      </c>
      <c r="K13" s="68">
        <f t="shared" si="8"/>
        <v>300000</v>
      </c>
      <c r="L13" s="68">
        <f t="shared" si="8"/>
        <v>300000</v>
      </c>
      <c r="M13" s="68">
        <f t="shared" si="8"/>
        <v>300000</v>
      </c>
      <c r="N13" s="68">
        <f t="shared" si="8"/>
        <v>300000</v>
      </c>
      <c r="O13" s="68">
        <f t="shared" si="8"/>
        <v>300000</v>
      </c>
      <c r="P13" s="68">
        <f t="shared" si="8"/>
        <v>300000</v>
      </c>
      <c r="Q13" s="169">
        <f t="shared" si="1"/>
        <v>3600000</v>
      </c>
      <c r="R13" s="175" t="s">
        <v>96</v>
      </c>
      <c r="S13" s="175" t="s">
        <v>400</v>
      </c>
      <c r="T13" s="176">
        <v>-1320000</v>
      </c>
      <c r="U13" s="183">
        <f t="shared" si="2"/>
        <v>2280000</v>
      </c>
      <c r="V13" s="173" t="s">
        <v>96</v>
      </c>
      <c r="W13" s="130" t="s">
        <v>400</v>
      </c>
      <c r="X13" s="131">
        <f t="shared" ref="X13:AD13" si="9">SUM(X14:X16)</f>
        <v>180000</v>
      </c>
      <c r="Y13" s="131">
        <f t="shared" si="9"/>
        <v>180000</v>
      </c>
      <c r="Z13" s="131">
        <f t="shared" si="9"/>
        <v>180000</v>
      </c>
      <c r="AA13" s="131">
        <f t="shared" si="9"/>
        <v>180000</v>
      </c>
      <c r="AB13" s="131">
        <f t="shared" si="9"/>
        <v>180000</v>
      </c>
      <c r="AC13" s="131">
        <f t="shared" si="9"/>
        <v>120000</v>
      </c>
      <c r="AD13" s="131">
        <f t="shared" si="9"/>
        <v>120000</v>
      </c>
      <c r="AE13" s="131">
        <v>120000</v>
      </c>
      <c r="AF13" s="131">
        <f>+'Reporte Devengado Aprobado'!L22</f>
        <v>120000</v>
      </c>
      <c r="AG13" s="131">
        <v>120000</v>
      </c>
      <c r="AH13" s="131">
        <f>SUM(AH14:AH16)</f>
        <v>0</v>
      </c>
      <c r="AI13" s="131">
        <f>SUM(AI14:AI16)</f>
        <v>0</v>
      </c>
      <c r="AJ13" s="132">
        <f t="shared" si="7"/>
        <v>1500000</v>
      </c>
      <c r="AK13" s="132">
        <f t="shared" si="4"/>
        <v>780000</v>
      </c>
      <c r="AL13" s="204">
        <f t="shared" si="6"/>
        <v>0.65789473684210531</v>
      </c>
      <c r="AN13"/>
      <c r="AO13" s="131">
        <f>+AD13</f>
        <v>120000</v>
      </c>
      <c r="AP13" s="131">
        <f>+AE13</f>
        <v>120000</v>
      </c>
      <c r="AQ13" s="131">
        <f t="shared" ref="AQ13:AT13" si="10">+AP13</f>
        <v>120000</v>
      </c>
      <c r="AR13" s="131">
        <f t="shared" si="10"/>
        <v>120000</v>
      </c>
      <c r="AS13" s="131">
        <f t="shared" si="10"/>
        <v>120000</v>
      </c>
      <c r="AT13" s="131">
        <f t="shared" si="10"/>
        <v>120000</v>
      </c>
      <c r="AU13" s="131">
        <f>SUM(AQ13:AT13)</f>
        <v>480000</v>
      </c>
      <c r="AV13" s="217">
        <f>+AK13-AU13</f>
        <v>300000</v>
      </c>
    </row>
    <row r="14" spans="1:52" s="59" customFormat="1" ht="21.75" customHeight="1" x14ac:dyDescent="0.25">
      <c r="C14" s="62" t="s">
        <v>394</v>
      </c>
      <c r="D14" s="63" t="s">
        <v>395</v>
      </c>
      <c r="E14" s="69">
        <f t="shared" ref="E14:P14" si="11">2000000/12</f>
        <v>166666.66666666666</v>
      </c>
      <c r="F14" s="69">
        <f t="shared" si="11"/>
        <v>166666.66666666666</v>
      </c>
      <c r="G14" s="69">
        <f t="shared" si="11"/>
        <v>166666.66666666666</v>
      </c>
      <c r="H14" s="69">
        <f t="shared" si="11"/>
        <v>166666.66666666666</v>
      </c>
      <c r="I14" s="69">
        <f t="shared" si="11"/>
        <v>166666.66666666666</v>
      </c>
      <c r="J14" s="69">
        <f t="shared" si="11"/>
        <v>166666.66666666666</v>
      </c>
      <c r="K14" s="69">
        <f t="shared" si="11"/>
        <v>166666.66666666666</v>
      </c>
      <c r="L14" s="69">
        <f t="shared" si="11"/>
        <v>166666.66666666666</v>
      </c>
      <c r="M14" s="69">
        <f t="shared" si="11"/>
        <v>166666.66666666666</v>
      </c>
      <c r="N14" s="69">
        <f t="shared" si="11"/>
        <v>166666.66666666666</v>
      </c>
      <c r="O14" s="69">
        <f t="shared" si="11"/>
        <v>166666.66666666666</v>
      </c>
      <c r="P14" s="69">
        <f t="shared" si="11"/>
        <v>166666.66666666666</v>
      </c>
      <c r="Q14" s="163">
        <f t="shared" si="1"/>
        <v>2000000.0000000002</v>
      </c>
      <c r="R14" s="165" t="s">
        <v>394</v>
      </c>
      <c r="S14" s="165" t="s">
        <v>395</v>
      </c>
      <c r="T14" s="166"/>
      <c r="U14" s="181">
        <f t="shared" si="2"/>
        <v>2000000.0000000002</v>
      </c>
      <c r="V14" s="164" t="s">
        <v>394</v>
      </c>
      <c r="W14" s="63" t="s">
        <v>395</v>
      </c>
      <c r="X14" s="69">
        <f>+'[1]Ene Prob.'!$E$8</f>
        <v>180000</v>
      </c>
      <c r="Y14" s="69">
        <f>+'[2]Feb. Prob.'!$E$8</f>
        <v>180000</v>
      </c>
      <c r="Z14" s="69">
        <f>+[3]Probatoria!$E$8</f>
        <v>180000</v>
      </c>
      <c r="AA14" s="69">
        <f>+[4]Probatoria!$E$14</f>
        <v>180000</v>
      </c>
      <c r="AB14" s="69">
        <v>180000</v>
      </c>
      <c r="AC14" s="69">
        <v>120000</v>
      </c>
      <c r="AD14" s="69">
        <v>120000</v>
      </c>
      <c r="AE14" s="69"/>
      <c r="AF14" s="69"/>
      <c r="AG14" s="69"/>
      <c r="AH14" s="69"/>
      <c r="AI14" s="69"/>
      <c r="AJ14" s="65">
        <f t="shared" si="7"/>
        <v>1140000</v>
      </c>
      <c r="AK14" s="65"/>
      <c r="AL14" s="205">
        <f t="shared" si="6"/>
        <v>0.56999999999999995</v>
      </c>
      <c r="AN14"/>
      <c r="AO14" s="214"/>
      <c r="AP14" s="214"/>
      <c r="AQ14" s="214"/>
      <c r="AR14" s="214"/>
      <c r="AS14" s="214"/>
      <c r="AT14" s="214"/>
      <c r="AU14" s="214"/>
      <c r="AV14" s="214"/>
    </row>
    <row r="15" spans="1:52" s="59" customFormat="1" ht="25.5" customHeight="1" x14ac:dyDescent="0.25">
      <c r="C15" s="62" t="s">
        <v>396</v>
      </c>
      <c r="D15" s="63" t="s">
        <v>397</v>
      </c>
      <c r="E15" s="69">
        <f t="shared" ref="E15:P16" si="12">800000/12</f>
        <v>66666.666666666672</v>
      </c>
      <c r="F15" s="69">
        <f t="shared" si="12"/>
        <v>66666.666666666672</v>
      </c>
      <c r="G15" s="69">
        <f t="shared" si="12"/>
        <v>66666.666666666672</v>
      </c>
      <c r="H15" s="69">
        <f t="shared" si="12"/>
        <v>66666.666666666672</v>
      </c>
      <c r="I15" s="69">
        <f t="shared" si="12"/>
        <v>66666.666666666672</v>
      </c>
      <c r="J15" s="69">
        <f t="shared" si="12"/>
        <v>66666.666666666672</v>
      </c>
      <c r="K15" s="69">
        <f t="shared" si="12"/>
        <v>66666.666666666672</v>
      </c>
      <c r="L15" s="69">
        <f t="shared" si="12"/>
        <v>66666.666666666672</v>
      </c>
      <c r="M15" s="69">
        <f t="shared" si="12"/>
        <v>66666.666666666672</v>
      </c>
      <c r="N15" s="69">
        <f t="shared" si="12"/>
        <v>66666.666666666672</v>
      </c>
      <c r="O15" s="69">
        <f t="shared" si="12"/>
        <v>66666.666666666672</v>
      </c>
      <c r="P15" s="69">
        <f t="shared" si="12"/>
        <v>66666.666666666672</v>
      </c>
      <c r="Q15" s="163">
        <f t="shared" si="1"/>
        <v>799999.99999999988</v>
      </c>
      <c r="R15" s="165" t="s">
        <v>396</v>
      </c>
      <c r="S15" s="165" t="s">
        <v>397</v>
      </c>
      <c r="T15" s="166"/>
      <c r="U15" s="181">
        <f t="shared" si="2"/>
        <v>799999.99999999988</v>
      </c>
      <c r="V15" s="164" t="s">
        <v>396</v>
      </c>
      <c r="W15" s="63" t="s">
        <v>397</v>
      </c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5">
        <f t="shared" si="7"/>
        <v>0</v>
      </c>
      <c r="AK15" s="65"/>
      <c r="AL15" s="205">
        <f t="shared" si="6"/>
        <v>0</v>
      </c>
      <c r="AN15"/>
      <c r="AO15" s="214"/>
      <c r="AP15" s="214"/>
      <c r="AQ15" s="214"/>
      <c r="AR15" s="214"/>
      <c r="AS15" s="214"/>
      <c r="AT15" s="214"/>
      <c r="AU15" s="214"/>
      <c r="AV15" s="214"/>
    </row>
    <row r="16" spans="1:52" s="59" customFormat="1" x14ac:dyDescent="0.25">
      <c r="C16" s="62" t="s">
        <v>398</v>
      </c>
      <c r="D16" s="63" t="s">
        <v>399</v>
      </c>
      <c r="E16" s="69">
        <f t="shared" si="12"/>
        <v>66666.666666666672</v>
      </c>
      <c r="F16" s="69">
        <f t="shared" si="12"/>
        <v>66666.666666666672</v>
      </c>
      <c r="G16" s="69">
        <f t="shared" si="12"/>
        <v>66666.666666666672</v>
      </c>
      <c r="H16" s="69">
        <f t="shared" si="12"/>
        <v>66666.666666666672</v>
      </c>
      <c r="I16" s="69">
        <f t="shared" si="12"/>
        <v>66666.666666666672</v>
      </c>
      <c r="J16" s="69">
        <f t="shared" si="12"/>
        <v>66666.666666666672</v>
      </c>
      <c r="K16" s="69">
        <f t="shared" si="12"/>
        <v>66666.666666666672</v>
      </c>
      <c r="L16" s="69">
        <f t="shared" si="12"/>
        <v>66666.666666666672</v>
      </c>
      <c r="M16" s="69">
        <f t="shared" si="12"/>
        <v>66666.666666666672</v>
      </c>
      <c r="N16" s="69">
        <f t="shared" si="12"/>
        <v>66666.666666666672</v>
      </c>
      <c r="O16" s="69">
        <f t="shared" si="12"/>
        <v>66666.666666666672</v>
      </c>
      <c r="P16" s="69">
        <f t="shared" si="12"/>
        <v>66666.666666666672</v>
      </c>
      <c r="Q16" s="163">
        <f t="shared" si="1"/>
        <v>799999.99999999988</v>
      </c>
      <c r="R16" s="165" t="s">
        <v>398</v>
      </c>
      <c r="S16" s="165" t="s">
        <v>399</v>
      </c>
      <c r="T16" s="167"/>
      <c r="U16" s="182">
        <f t="shared" si="2"/>
        <v>799999.99999999988</v>
      </c>
      <c r="V16" s="164" t="s">
        <v>398</v>
      </c>
      <c r="W16" s="63" t="s">
        <v>399</v>
      </c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5">
        <f t="shared" si="7"/>
        <v>0</v>
      </c>
      <c r="AK16" s="65"/>
      <c r="AL16" s="205">
        <f t="shared" si="6"/>
        <v>0</v>
      </c>
      <c r="AN16"/>
      <c r="AO16" s="214"/>
      <c r="AP16" s="214"/>
      <c r="AQ16" s="214"/>
      <c r="AR16" s="214"/>
      <c r="AS16" s="214"/>
      <c r="AT16" s="214"/>
      <c r="AU16" s="214"/>
      <c r="AV16" s="214"/>
    </row>
    <row r="17" spans="3:48" s="59" customFormat="1" ht="40.5" customHeight="1" x14ac:dyDescent="0.3">
      <c r="C17" s="66" t="s">
        <v>92</v>
      </c>
      <c r="D17" s="67" t="s">
        <v>401</v>
      </c>
      <c r="E17" s="68">
        <f t="shared" ref="E17:P17" si="13">SUM(E18:E20)</f>
        <v>1645500</v>
      </c>
      <c r="F17" s="68">
        <f t="shared" si="13"/>
        <v>349000</v>
      </c>
      <c r="G17" s="68">
        <f t="shared" si="13"/>
        <v>1645500</v>
      </c>
      <c r="H17" s="68">
        <f t="shared" si="13"/>
        <v>1645500</v>
      </c>
      <c r="I17" s="68">
        <f t="shared" si="13"/>
        <v>1645500</v>
      </c>
      <c r="J17" s="68">
        <f t="shared" si="13"/>
        <v>1645500</v>
      </c>
      <c r="K17" s="68">
        <f t="shared" si="13"/>
        <v>1645500</v>
      </c>
      <c r="L17" s="68">
        <f t="shared" si="13"/>
        <v>1645500</v>
      </c>
      <c r="M17" s="68">
        <f t="shared" si="13"/>
        <v>1645500</v>
      </c>
      <c r="N17" s="68">
        <f t="shared" si="13"/>
        <v>1645500</v>
      </c>
      <c r="O17" s="68">
        <f t="shared" si="13"/>
        <v>1645500</v>
      </c>
      <c r="P17" s="68">
        <f t="shared" si="13"/>
        <v>1645500</v>
      </c>
      <c r="Q17" s="169">
        <f t="shared" si="1"/>
        <v>18449500</v>
      </c>
      <c r="R17" s="175" t="s">
        <v>92</v>
      </c>
      <c r="S17" s="175" t="s">
        <v>401</v>
      </c>
      <c r="T17" s="176">
        <v>-18449500</v>
      </c>
      <c r="U17" s="183">
        <f t="shared" si="2"/>
        <v>0</v>
      </c>
      <c r="V17" s="173" t="s">
        <v>92</v>
      </c>
      <c r="W17" s="130" t="s">
        <v>401</v>
      </c>
      <c r="X17" s="131">
        <f>SUM(X18:X20)</f>
        <v>0</v>
      </c>
      <c r="Y17" s="131">
        <f>SUM(Y18:Y20)</f>
        <v>0</v>
      </c>
      <c r="Z17" s="131">
        <f>SUM(Z18:Z20)</f>
        <v>0</v>
      </c>
      <c r="AA17" s="131">
        <f>SUM(AA18:AA20)</f>
        <v>0</v>
      </c>
      <c r="AB17" s="131">
        <f>SUM(AB18:AB20)</f>
        <v>0</v>
      </c>
      <c r="AC17" s="131">
        <v>0</v>
      </c>
      <c r="AD17" s="131">
        <f t="shared" ref="AD17:AI17" si="14">SUM(AD18:AD20)</f>
        <v>0</v>
      </c>
      <c r="AE17" s="131">
        <f t="shared" si="14"/>
        <v>0</v>
      </c>
      <c r="AF17" s="131">
        <f t="shared" si="14"/>
        <v>0</v>
      </c>
      <c r="AG17" s="131">
        <f t="shared" si="14"/>
        <v>0</v>
      </c>
      <c r="AH17" s="131">
        <f t="shared" si="14"/>
        <v>0</v>
      </c>
      <c r="AI17" s="131">
        <f t="shared" si="14"/>
        <v>0</v>
      </c>
      <c r="AJ17" s="199">
        <f t="shared" si="7"/>
        <v>0</v>
      </c>
      <c r="AK17" s="132">
        <f t="shared" si="4"/>
        <v>0</v>
      </c>
      <c r="AL17" s="204">
        <f t="shared" si="6"/>
        <v>0</v>
      </c>
      <c r="AN17"/>
      <c r="AO17" s="131">
        <v>0</v>
      </c>
      <c r="AP17" s="131">
        <f>+AE17</f>
        <v>0</v>
      </c>
      <c r="AQ17" s="131">
        <f t="shared" ref="AQ17:AT17" si="15">+AP17*$AO$6</f>
        <v>0</v>
      </c>
      <c r="AR17" s="131">
        <f t="shared" si="15"/>
        <v>0</v>
      </c>
      <c r="AS17" s="131">
        <f t="shared" si="15"/>
        <v>0</v>
      </c>
      <c r="AT17" s="131">
        <f t="shared" si="15"/>
        <v>0</v>
      </c>
      <c r="AU17" s="131">
        <f>SUM(AQ17:AT17)</f>
        <v>0</v>
      </c>
      <c r="AV17" s="217">
        <f>+AK17-AU17</f>
        <v>0</v>
      </c>
    </row>
    <row r="18" spans="3:48" s="59" customFormat="1" ht="33" customHeight="1" x14ac:dyDescent="0.25">
      <c r="C18" s="62" t="s">
        <v>394</v>
      </c>
      <c r="D18" s="63" t="s">
        <v>395</v>
      </c>
      <c r="E18" s="69">
        <v>1296500</v>
      </c>
      <c r="F18" s="69">
        <f>+L2</f>
        <v>0</v>
      </c>
      <c r="G18" s="69">
        <v>1296500</v>
      </c>
      <c r="H18" s="69">
        <v>1296500</v>
      </c>
      <c r="I18" s="69">
        <v>1296500</v>
      </c>
      <c r="J18" s="69">
        <v>1296500</v>
      </c>
      <c r="K18" s="69">
        <v>1296500</v>
      </c>
      <c r="L18" s="69">
        <v>1296500</v>
      </c>
      <c r="M18" s="69">
        <v>1296500</v>
      </c>
      <c r="N18" s="69">
        <v>1296500</v>
      </c>
      <c r="O18" s="69">
        <v>1296500</v>
      </c>
      <c r="P18" s="69">
        <v>1296500</v>
      </c>
      <c r="Q18" s="163">
        <f t="shared" si="1"/>
        <v>14261500</v>
      </c>
      <c r="R18" s="165" t="s">
        <v>394</v>
      </c>
      <c r="S18" s="165" t="s">
        <v>395</v>
      </c>
      <c r="T18" s="166"/>
      <c r="U18" s="181"/>
      <c r="V18" s="164" t="s">
        <v>394</v>
      </c>
      <c r="W18" s="63" t="s">
        <v>395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/>
      <c r="AE18" s="69"/>
      <c r="AF18" s="69"/>
      <c r="AG18" s="69"/>
      <c r="AH18" s="69"/>
      <c r="AI18" s="69"/>
      <c r="AJ18" s="65">
        <f t="shared" si="7"/>
        <v>0</v>
      </c>
      <c r="AK18" s="65">
        <f t="shared" si="4"/>
        <v>0</v>
      </c>
      <c r="AL18" s="205">
        <f t="shared" si="6"/>
        <v>0</v>
      </c>
      <c r="AN18"/>
      <c r="AO18" s="214"/>
      <c r="AP18" s="214"/>
      <c r="AQ18" s="214"/>
      <c r="AR18" s="214"/>
      <c r="AS18" s="214"/>
      <c r="AT18" s="214"/>
      <c r="AU18" s="214"/>
      <c r="AV18" s="214"/>
    </row>
    <row r="19" spans="3:48" s="59" customFormat="1" ht="40.5" customHeight="1" x14ac:dyDescent="0.25">
      <c r="C19" s="62" t="s">
        <v>396</v>
      </c>
      <c r="D19" s="63" t="s">
        <v>397</v>
      </c>
      <c r="E19" s="69">
        <v>277000</v>
      </c>
      <c r="F19" s="69">
        <v>277000</v>
      </c>
      <c r="G19" s="69">
        <v>277000</v>
      </c>
      <c r="H19" s="69">
        <v>277000</v>
      </c>
      <c r="I19" s="69">
        <v>277000</v>
      </c>
      <c r="J19" s="69">
        <v>277000</v>
      </c>
      <c r="K19" s="69">
        <v>277000</v>
      </c>
      <c r="L19" s="69">
        <v>277000</v>
      </c>
      <c r="M19" s="69">
        <v>277000</v>
      </c>
      <c r="N19" s="69">
        <v>277000</v>
      </c>
      <c r="O19" s="69">
        <v>277000</v>
      </c>
      <c r="P19" s="69">
        <v>277000</v>
      </c>
      <c r="Q19" s="163">
        <f t="shared" si="1"/>
        <v>3324000</v>
      </c>
      <c r="R19" s="165" t="s">
        <v>396</v>
      </c>
      <c r="S19" s="165" t="s">
        <v>397</v>
      </c>
      <c r="T19" s="166"/>
      <c r="U19" s="181"/>
      <c r="V19" s="164" t="s">
        <v>396</v>
      </c>
      <c r="W19" s="63" t="s">
        <v>397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/>
      <c r="AE19" s="69"/>
      <c r="AF19" s="69"/>
      <c r="AG19" s="69"/>
      <c r="AH19" s="69"/>
      <c r="AI19" s="69"/>
      <c r="AJ19" s="65">
        <f t="shared" si="7"/>
        <v>0</v>
      </c>
      <c r="AK19" s="65">
        <f t="shared" si="4"/>
        <v>0</v>
      </c>
      <c r="AL19" s="205">
        <f t="shared" si="6"/>
        <v>0</v>
      </c>
      <c r="AN19"/>
      <c r="AO19" s="214"/>
      <c r="AP19" s="214"/>
      <c r="AQ19" s="214"/>
      <c r="AR19" s="214"/>
      <c r="AS19" s="214"/>
      <c r="AT19" s="214"/>
      <c r="AU19" s="214"/>
      <c r="AV19" s="214"/>
    </row>
    <row r="20" spans="3:48" s="59" customFormat="1" ht="40.5" customHeight="1" x14ac:dyDescent="0.25">
      <c r="C20" s="62" t="s">
        <v>398</v>
      </c>
      <c r="D20" s="63" t="s">
        <v>399</v>
      </c>
      <c r="E20" s="69">
        <v>72000</v>
      </c>
      <c r="F20" s="69">
        <v>72000</v>
      </c>
      <c r="G20" s="69">
        <v>72000</v>
      </c>
      <c r="H20" s="69">
        <v>72000</v>
      </c>
      <c r="I20" s="69">
        <v>72000</v>
      </c>
      <c r="J20" s="69">
        <v>72000</v>
      </c>
      <c r="K20" s="69">
        <v>72000</v>
      </c>
      <c r="L20" s="69">
        <v>72000</v>
      </c>
      <c r="M20" s="69">
        <v>72000</v>
      </c>
      <c r="N20" s="69">
        <v>72000</v>
      </c>
      <c r="O20" s="69">
        <v>72000</v>
      </c>
      <c r="P20" s="69">
        <v>72000</v>
      </c>
      <c r="Q20" s="163">
        <f t="shared" si="1"/>
        <v>864000</v>
      </c>
      <c r="R20" s="165" t="s">
        <v>398</v>
      </c>
      <c r="S20" s="165" t="s">
        <v>399</v>
      </c>
      <c r="T20" s="167"/>
      <c r="U20" s="182"/>
      <c r="V20" s="164" t="s">
        <v>398</v>
      </c>
      <c r="W20" s="63" t="s">
        <v>399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/>
      <c r="AE20" s="69"/>
      <c r="AF20" s="69"/>
      <c r="AG20" s="69"/>
      <c r="AH20" s="69"/>
      <c r="AI20" s="69"/>
      <c r="AJ20" s="65">
        <f t="shared" si="7"/>
        <v>0</v>
      </c>
      <c r="AK20" s="65">
        <f t="shared" si="4"/>
        <v>0</v>
      </c>
      <c r="AL20" s="205">
        <f t="shared" si="6"/>
        <v>0</v>
      </c>
      <c r="AN20"/>
      <c r="AO20" s="214"/>
      <c r="AP20" s="214"/>
      <c r="AQ20" s="214"/>
      <c r="AR20" s="214"/>
      <c r="AS20" s="214"/>
      <c r="AT20" s="214"/>
      <c r="AU20" s="214"/>
      <c r="AV20" s="214"/>
    </row>
    <row r="21" spans="3:48" s="59" customFormat="1" ht="40.5" customHeight="1" x14ac:dyDescent="0.3">
      <c r="C21" s="66" t="s">
        <v>94</v>
      </c>
      <c r="D21" s="67" t="s">
        <v>95</v>
      </c>
      <c r="E21" s="68">
        <f t="shared" ref="E21:P21" si="16">SUM(E22:E24)</f>
        <v>0</v>
      </c>
      <c r="F21" s="68">
        <f t="shared" si="16"/>
        <v>0</v>
      </c>
      <c r="G21" s="68">
        <f t="shared" si="16"/>
        <v>0</v>
      </c>
      <c r="H21" s="68">
        <f t="shared" si="16"/>
        <v>0</v>
      </c>
      <c r="I21" s="68">
        <f t="shared" si="16"/>
        <v>0</v>
      </c>
      <c r="J21" s="68">
        <f t="shared" si="16"/>
        <v>0</v>
      </c>
      <c r="K21" s="68">
        <f t="shared" si="16"/>
        <v>0</v>
      </c>
      <c r="L21" s="68">
        <f t="shared" si="16"/>
        <v>0</v>
      </c>
      <c r="M21" s="68">
        <f t="shared" si="16"/>
        <v>0</v>
      </c>
      <c r="N21" s="68">
        <f t="shared" si="16"/>
        <v>0</v>
      </c>
      <c r="O21" s="68">
        <f t="shared" si="16"/>
        <v>0</v>
      </c>
      <c r="P21" s="68">
        <f t="shared" si="16"/>
        <v>0</v>
      </c>
      <c r="Q21" s="169">
        <f t="shared" si="1"/>
        <v>0</v>
      </c>
      <c r="R21" s="175" t="s">
        <v>94</v>
      </c>
      <c r="S21" s="175" t="s">
        <v>95</v>
      </c>
      <c r="T21" s="176">
        <v>55000</v>
      </c>
      <c r="U21" s="183">
        <f t="shared" ref="U21" si="17">+Q21+T21</f>
        <v>55000</v>
      </c>
      <c r="V21" s="173" t="s">
        <v>94</v>
      </c>
      <c r="W21" s="130" t="s">
        <v>95</v>
      </c>
      <c r="X21" s="131">
        <f t="shared" ref="X21:AI21" si="18">SUM(X22:X24)</f>
        <v>0</v>
      </c>
      <c r="Y21" s="131">
        <f t="shared" si="18"/>
        <v>0</v>
      </c>
      <c r="Z21" s="131">
        <f t="shared" si="18"/>
        <v>27500</v>
      </c>
      <c r="AA21" s="131">
        <f t="shared" si="18"/>
        <v>27500</v>
      </c>
      <c r="AB21" s="131">
        <f t="shared" si="18"/>
        <v>0</v>
      </c>
      <c r="AC21" s="131">
        <f t="shared" si="18"/>
        <v>0</v>
      </c>
      <c r="AD21" s="131">
        <f t="shared" si="18"/>
        <v>0</v>
      </c>
      <c r="AE21" s="131">
        <f t="shared" si="18"/>
        <v>0</v>
      </c>
      <c r="AF21" s="131">
        <f t="shared" si="18"/>
        <v>0</v>
      </c>
      <c r="AG21" s="131">
        <f t="shared" si="18"/>
        <v>0</v>
      </c>
      <c r="AH21" s="131">
        <f t="shared" si="18"/>
        <v>0</v>
      </c>
      <c r="AI21" s="131">
        <f t="shared" si="18"/>
        <v>0</v>
      </c>
      <c r="AJ21" s="132">
        <f t="shared" si="7"/>
        <v>55000</v>
      </c>
      <c r="AK21" s="132">
        <f t="shared" si="4"/>
        <v>0</v>
      </c>
      <c r="AL21" s="204">
        <f t="shared" si="6"/>
        <v>1</v>
      </c>
      <c r="AN21"/>
      <c r="AO21" s="131">
        <v>0</v>
      </c>
      <c r="AP21" s="131">
        <f>+AE21</f>
        <v>0</v>
      </c>
      <c r="AQ21" s="131">
        <v>0</v>
      </c>
      <c r="AR21" s="131">
        <v>0</v>
      </c>
      <c r="AS21" s="131">
        <v>0</v>
      </c>
      <c r="AT21" s="131">
        <v>0</v>
      </c>
      <c r="AU21" s="131">
        <f>SUM(AQ21:AT21)</f>
        <v>0</v>
      </c>
      <c r="AV21" s="217">
        <f>+AK21-AU21</f>
        <v>0</v>
      </c>
    </row>
    <row r="22" spans="3:48" s="59" customFormat="1" ht="29.25" customHeight="1" x14ac:dyDescent="0.25">
      <c r="C22" s="62" t="s">
        <v>394</v>
      </c>
      <c r="D22" s="63" t="s">
        <v>395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163">
        <f t="shared" si="1"/>
        <v>0</v>
      </c>
      <c r="R22" s="165" t="s">
        <v>394</v>
      </c>
      <c r="S22" s="165" t="s">
        <v>395</v>
      </c>
      <c r="T22" s="167"/>
      <c r="U22" s="182"/>
      <c r="V22" s="164" t="s">
        <v>394</v>
      </c>
      <c r="W22" s="63" t="s">
        <v>395</v>
      </c>
      <c r="X22" s="69"/>
      <c r="Y22" s="69"/>
      <c r="Z22" s="69"/>
      <c r="AA22" s="69"/>
      <c r="AB22" s="69">
        <v>0</v>
      </c>
      <c r="AC22" s="69">
        <v>0</v>
      </c>
      <c r="AD22" s="69"/>
      <c r="AE22" s="69"/>
      <c r="AF22" s="69"/>
      <c r="AG22" s="69"/>
      <c r="AH22" s="69"/>
      <c r="AI22" s="69"/>
      <c r="AJ22" s="65">
        <f t="shared" si="7"/>
        <v>0</v>
      </c>
      <c r="AK22" s="65">
        <f t="shared" si="4"/>
        <v>0</v>
      </c>
      <c r="AL22" s="205">
        <f t="shared" si="6"/>
        <v>0</v>
      </c>
      <c r="AN22"/>
      <c r="AO22" s="214"/>
      <c r="AP22" s="214"/>
      <c r="AQ22" s="214"/>
      <c r="AR22" s="214"/>
      <c r="AS22" s="214"/>
      <c r="AT22" s="214"/>
      <c r="AU22" s="214"/>
      <c r="AV22" s="214"/>
    </row>
    <row r="23" spans="3:48" s="59" customFormat="1" ht="29.25" customHeight="1" x14ac:dyDescent="0.25">
      <c r="C23" s="62" t="s">
        <v>396</v>
      </c>
      <c r="D23" s="63" t="s">
        <v>397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163">
        <f t="shared" si="1"/>
        <v>0</v>
      </c>
      <c r="R23" s="165" t="s">
        <v>396</v>
      </c>
      <c r="S23" s="165" t="s">
        <v>397</v>
      </c>
      <c r="T23" s="167"/>
      <c r="U23" s="182"/>
      <c r="V23" s="164" t="s">
        <v>396</v>
      </c>
      <c r="W23" s="63" t="s">
        <v>397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5">
        <f t="shared" si="7"/>
        <v>0</v>
      </c>
      <c r="AK23" s="65">
        <f t="shared" si="4"/>
        <v>0</v>
      </c>
      <c r="AL23" s="205">
        <f t="shared" si="6"/>
        <v>0</v>
      </c>
      <c r="AN23"/>
      <c r="AO23" s="214"/>
      <c r="AP23" s="214"/>
      <c r="AQ23" s="214"/>
      <c r="AR23" s="214"/>
      <c r="AS23" s="214"/>
      <c r="AT23" s="214"/>
      <c r="AU23" s="214"/>
      <c r="AV23" s="214"/>
    </row>
    <row r="24" spans="3:48" s="59" customFormat="1" ht="39.75" customHeight="1" x14ac:dyDescent="0.25">
      <c r="C24" s="62" t="s">
        <v>398</v>
      </c>
      <c r="D24" s="63" t="s">
        <v>399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163">
        <f t="shared" si="1"/>
        <v>0</v>
      </c>
      <c r="R24" s="165" t="s">
        <v>398</v>
      </c>
      <c r="S24" s="165" t="s">
        <v>399</v>
      </c>
      <c r="T24" s="167"/>
      <c r="U24" s="182"/>
      <c r="V24" s="164" t="s">
        <v>398</v>
      </c>
      <c r="W24" s="63" t="s">
        <v>399</v>
      </c>
      <c r="X24" s="69"/>
      <c r="Y24" s="69"/>
      <c r="Z24" s="69">
        <f>+[2]Suplencia!$D$9</f>
        <v>27500</v>
      </c>
      <c r="AA24" s="69">
        <v>27500</v>
      </c>
      <c r="AB24" s="69">
        <v>0</v>
      </c>
      <c r="AC24" s="69"/>
      <c r="AD24" s="69"/>
      <c r="AE24" s="69"/>
      <c r="AF24" s="69"/>
      <c r="AG24" s="69"/>
      <c r="AH24" s="69"/>
      <c r="AI24" s="69"/>
      <c r="AJ24" s="65">
        <f t="shared" si="7"/>
        <v>55000</v>
      </c>
      <c r="AK24" s="65">
        <f t="shared" si="4"/>
        <v>-55000</v>
      </c>
      <c r="AL24" s="205">
        <f t="shared" si="6"/>
        <v>0</v>
      </c>
      <c r="AN24"/>
      <c r="AO24" s="214"/>
      <c r="AP24" s="214"/>
      <c r="AQ24" s="214"/>
      <c r="AR24" s="214"/>
      <c r="AS24" s="214"/>
      <c r="AT24" s="214"/>
      <c r="AU24" s="214"/>
      <c r="AV24" s="214"/>
    </row>
    <row r="25" spans="3:48" s="59" customFormat="1" ht="39.75" customHeight="1" x14ac:dyDescent="0.3">
      <c r="C25" s="66" t="s">
        <v>98</v>
      </c>
      <c r="D25" s="67" t="s">
        <v>569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169">
        <f t="shared" si="1"/>
        <v>0</v>
      </c>
      <c r="R25" s="175" t="s">
        <v>98</v>
      </c>
      <c r="S25" s="175" t="s">
        <v>569</v>
      </c>
      <c r="T25" s="176">
        <f>26651967.18+150000</f>
        <v>26801967.18</v>
      </c>
      <c r="U25" s="183">
        <f t="shared" ref="U25" si="19">+Q25+T25</f>
        <v>26801967.18</v>
      </c>
      <c r="V25" s="173" t="s">
        <v>98</v>
      </c>
      <c r="W25" s="130" t="s">
        <v>569</v>
      </c>
      <c r="X25" s="131">
        <f t="shared" ref="X25:AC25" si="20">SUM(X26:X28)</f>
        <v>1352000</v>
      </c>
      <c r="Y25" s="131">
        <f t="shared" si="20"/>
        <v>1988666.67</v>
      </c>
      <c r="Z25" s="131">
        <f t="shared" si="20"/>
        <v>2331167.17</v>
      </c>
      <c r="AA25" s="131">
        <f t="shared" si="20"/>
        <v>1942666.67</v>
      </c>
      <c r="AB25" s="131">
        <f t="shared" si="20"/>
        <v>1802466.67</v>
      </c>
      <c r="AC25" s="131">
        <f t="shared" si="20"/>
        <v>1763000</v>
      </c>
      <c r="AD25" s="131">
        <v>2056832.83</v>
      </c>
      <c r="AE25" s="131">
        <v>2543000</v>
      </c>
      <c r="AF25" s="131">
        <f>+'Reporte Devengado Aprobado'!L23</f>
        <v>2298000</v>
      </c>
      <c r="AG25" s="131">
        <v>2448000</v>
      </c>
      <c r="AH25" s="131"/>
      <c r="AI25" s="131"/>
      <c r="AJ25" s="132">
        <f t="shared" si="7"/>
        <v>20525800.009999998</v>
      </c>
      <c r="AK25" s="132">
        <f t="shared" si="4"/>
        <v>6276167.1700000018</v>
      </c>
      <c r="AL25" s="204">
        <f t="shared" si="6"/>
        <v>0.76583184630255929</v>
      </c>
      <c r="AN25"/>
      <c r="AO25" s="131">
        <f>+AD25</f>
        <v>2056832.83</v>
      </c>
      <c r="AP25" s="131">
        <f>+AE25</f>
        <v>2543000</v>
      </c>
      <c r="AQ25" s="131">
        <f t="shared" ref="AQ25:AT25" si="21">+AP25</f>
        <v>2543000</v>
      </c>
      <c r="AR25" s="131">
        <f t="shared" si="21"/>
        <v>2543000</v>
      </c>
      <c r="AS25" s="131">
        <f t="shared" si="21"/>
        <v>2543000</v>
      </c>
      <c r="AT25" s="131">
        <f t="shared" si="21"/>
        <v>2543000</v>
      </c>
      <c r="AU25" s="131">
        <f>SUM(AQ25:AT25)</f>
        <v>10172000</v>
      </c>
      <c r="AV25" s="217">
        <f>+AK25-AU25</f>
        <v>-3895832.8299999982</v>
      </c>
    </row>
    <row r="26" spans="3:48" s="59" customFormat="1" ht="39.75" customHeight="1" x14ac:dyDescent="0.25">
      <c r="C26" s="66"/>
      <c r="D26" s="67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169"/>
      <c r="R26" s="165" t="s">
        <v>394</v>
      </c>
      <c r="S26" s="165" t="s">
        <v>395</v>
      </c>
      <c r="T26" s="177">
        <f>2095000.51+14261500+918000+2748466.67</f>
        <v>20022967.18</v>
      </c>
      <c r="U26" s="177">
        <f>+Q26+T26</f>
        <v>20022967.18</v>
      </c>
      <c r="V26" s="164" t="s">
        <v>394</v>
      </c>
      <c r="W26" s="63" t="s">
        <v>395</v>
      </c>
      <c r="X26" s="69">
        <f>+'[1]Ene Cont.'!$E$29</f>
        <v>1085000</v>
      </c>
      <c r="Y26" s="69">
        <f>+'[2]Feb. Cont.'!$E$36+'[2]Contratados Adic ene'!$E$25</f>
        <v>1721666.67</v>
      </c>
      <c r="Z26" s="69">
        <f>+'[3]Contratado.'!$E$35+'[2]Contratados Adic ene'!$E$17+4500.5</f>
        <v>1329500.5</v>
      </c>
      <c r="AA26" s="69">
        <f>+'[4]Contratado.'!$E$40</f>
        <v>1145666.67</v>
      </c>
      <c r="AB26" s="69">
        <v>1030000</v>
      </c>
      <c r="AC26" s="69">
        <v>1012000</v>
      </c>
      <c r="AD26" s="81"/>
      <c r="AE26" s="81"/>
      <c r="AF26" s="131"/>
      <c r="AG26" s="131"/>
      <c r="AH26" s="131"/>
      <c r="AI26" s="131"/>
      <c r="AJ26" s="84">
        <f t="shared" si="7"/>
        <v>7323833.8399999999</v>
      </c>
      <c r="AK26" s="65">
        <f t="shared" si="4"/>
        <v>12699133.34</v>
      </c>
      <c r="AL26" s="205">
        <f t="shared" si="6"/>
        <v>0.36577165482823309</v>
      </c>
      <c r="AN26"/>
      <c r="AO26" s="214"/>
      <c r="AP26" s="214"/>
      <c r="AQ26" s="214"/>
      <c r="AR26" s="214"/>
      <c r="AS26" s="214"/>
      <c r="AT26" s="214"/>
      <c r="AU26" s="214"/>
      <c r="AV26" s="214"/>
    </row>
    <row r="27" spans="3:48" s="59" customFormat="1" ht="39.75" customHeight="1" x14ac:dyDescent="0.25">
      <c r="C27" s="66"/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169"/>
      <c r="R27" s="165" t="s">
        <v>396</v>
      </c>
      <c r="S27" s="165" t="s">
        <v>397</v>
      </c>
      <c r="T27" s="177">
        <f>192000+3324000+1974000</f>
        <v>5490000</v>
      </c>
      <c r="U27" s="177">
        <f>+Q27+T27</f>
        <v>5490000</v>
      </c>
      <c r="V27" s="164" t="s">
        <v>396</v>
      </c>
      <c r="W27" s="63" t="s">
        <v>397</v>
      </c>
      <c r="X27" s="69">
        <f>+'[1]Ene Cont.'!$E$41</f>
        <v>231000</v>
      </c>
      <c r="Y27" s="69">
        <f>+'[2]Feb. Cont.'!$E$48</f>
        <v>231000</v>
      </c>
      <c r="Z27" s="69">
        <f>+'[3]Contratado.'!$E$49+'[2]Contratados Adic feb'!$E$10</f>
        <v>597000</v>
      </c>
      <c r="AA27" s="69">
        <f>+'[4]Contratado.'!$E$57</f>
        <v>657000</v>
      </c>
      <c r="AB27" s="69">
        <v>632466.67000000004</v>
      </c>
      <c r="AC27" s="69">
        <v>611000</v>
      </c>
      <c r="AD27" s="81"/>
      <c r="AE27" s="81"/>
      <c r="AF27" s="131"/>
      <c r="AG27" s="131"/>
      <c r="AH27" s="131"/>
      <c r="AI27" s="131"/>
      <c r="AJ27" s="84">
        <f t="shared" si="7"/>
        <v>2959466.67</v>
      </c>
      <c r="AK27" s="65">
        <f t="shared" si="4"/>
        <v>2530533.33</v>
      </c>
      <c r="AL27" s="205">
        <f t="shared" si="6"/>
        <v>0.5390649672131147</v>
      </c>
      <c r="AN27"/>
      <c r="AO27" s="214"/>
      <c r="AP27" s="214"/>
      <c r="AQ27" s="214"/>
      <c r="AR27" s="214"/>
      <c r="AS27" s="214"/>
      <c r="AT27" s="214"/>
      <c r="AU27" s="214"/>
      <c r="AV27" s="214"/>
    </row>
    <row r="28" spans="3:48" s="59" customFormat="1" ht="39.75" customHeight="1" x14ac:dyDescent="0.25">
      <c r="C28" s="62"/>
      <c r="D28" s="63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163">
        <f t="shared" ref="Q28:Q59" si="22">SUM(E28:P28)</f>
        <v>0</v>
      </c>
      <c r="R28" s="165" t="s">
        <v>398</v>
      </c>
      <c r="S28" s="165" t="s">
        <v>399</v>
      </c>
      <c r="T28" s="203">
        <f>15000+864000</f>
        <v>879000</v>
      </c>
      <c r="U28" s="184">
        <f>+Q28+T28</f>
        <v>879000</v>
      </c>
      <c r="V28" s="164" t="s">
        <v>398</v>
      </c>
      <c r="W28" s="63" t="s">
        <v>399</v>
      </c>
      <c r="X28" s="69">
        <f>+'[1]Ene Cont.'!$E$47</f>
        <v>36000</v>
      </c>
      <c r="Y28" s="69">
        <f>+'[2]Feb. Cont.'!$E$54</f>
        <v>36000</v>
      </c>
      <c r="Z28" s="69">
        <f>+'[3]Contratado.'!$E$56+'[2]Contratados Adic ene'!$E$23+'[2]Contratados Adic feb'!$E$16</f>
        <v>404666.67</v>
      </c>
      <c r="AA28" s="69">
        <f>+'[4]Contratado.'!$E$63</f>
        <v>140000</v>
      </c>
      <c r="AB28" s="69">
        <v>140000</v>
      </c>
      <c r="AC28" s="69">
        <v>140000</v>
      </c>
      <c r="AD28" s="69"/>
      <c r="AE28" s="69"/>
      <c r="AF28" s="69"/>
      <c r="AG28" s="69"/>
      <c r="AH28" s="69"/>
      <c r="AI28" s="69"/>
      <c r="AJ28" s="65">
        <f t="shared" si="7"/>
        <v>896666.66999999993</v>
      </c>
      <c r="AK28" s="65">
        <f t="shared" si="4"/>
        <v>-17666.669999999925</v>
      </c>
      <c r="AL28" s="205">
        <f t="shared" si="6"/>
        <v>1.0200986006825938</v>
      </c>
      <c r="AN28"/>
      <c r="AO28" s="214"/>
      <c r="AP28" s="214"/>
      <c r="AQ28" s="214"/>
      <c r="AR28" s="214"/>
      <c r="AS28" s="214"/>
      <c r="AT28" s="214"/>
      <c r="AU28" s="214"/>
      <c r="AV28" s="214"/>
    </row>
    <row r="29" spans="3:48" s="59" customFormat="1" ht="39.75" customHeight="1" x14ac:dyDescent="0.3">
      <c r="C29" s="66" t="s">
        <v>527</v>
      </c>
      <c r="D29" s="67" t="s">
        <v>528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169">
        <f t="shared" si="22"/>
        <v>0</v>
      </c>
      <c r="R29" s="175" t="s">
        <v>527</v>
      </c>
      <c r="S29" s="175" t="s">
        <v>528</v>
      </c>
      <c r="T29" s="176">
        <v>3540000</v>
      </c>
      <c r="U29" s="183">
        <f t="shared" ref="U29" si="23">+Q29+T29</f>
        <v>3540000</v>
      </c>
      <c r="V29" s="173" t="s">
        <v>527</v>
      </c>
      <c r="W29" s="130" t="s">
        <v>528</v>
      </c>
      <c r="X29" s="131"/>
      <c r="Y29" s="131"/>
      <c r="Z29" s="131"/>
      <c r="AA29" s="131"/>
      <c r="AB29" s="131">
        <v>640000</v>
      </c>
      <c r="AC29" s="131">
        <v>963000</v>
      </c>
      <c r="AD29" s="131">
        <v>320000</v>
      </c>
      <c r="AE29" s="131">
        <v>320000</v>
      </c>
      <c r="AF29" s="131">
        <f>+'Reporte Devengado Aprobado'!L24</f>
        <v>320000</v>
      </c>
      <c r="AG29" s="131">
        <v>320000</v>
      </c>
      <c r="AH29" s="131"/>
      <c r="AI29" s="131"/>
      <c r="AJ29" s="132">
        <f t="shared" si="7"/>
        <v>2883000</v>
      </c>
      <c r="AK29" s="132">
        <f t="shared" si="4"/>
        <v>657000</v>
      </c>
      <c r="AL29" s="204">
        <f t="shared" si="6"/>
        <v>0.81440677966101693</v>
      </c>
      <c r="AN29"/>
      <c r="AO29" s="131">
        <v>320000</v>
      </c>
      <c r="AP29" s="131">
        <f>+AE29</f>
        <v>320000</v>
      </c>
      <c r="AQ29" s="131">
        <f t="shared" ref="AQ29:AT29" si="24">+AP29</f>
        <v>320000</v>
      </c>
      <c r="AR29" s="131">
        <f t="shared" si="24"/>
        <v>320000</v>
      </c>
      <c r="AS29" s="131">
        <f t="shared" si="24"/>
        <v>320000</v>
      </c>
      <c r="AT29" s="131">
        <f t="shared" si="24"/>
        <v>320000</v>
      </c>
      <c r="AU29" s="131">
        <f>SUM(AQ29:AT29)</f>
        <v>1280000</v>
      </c>
      <c r="AV29" s="217">
        <f>+AK29-AU29</f>
        <v>-623000</v>
      </c>
    </row>
    <row r="30" spans="3:48" s="59" customFormat="1" ht="39.75" customHeight="1" x14ac:dyDescent="0.25">
      <c r="C30" s="62"/>
      <c r="D30" s="63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163">
        <f t="shared" si="22"/>
        <v>0</v>
      </c>
      <c r="R30" s="165" t="s">
        <v>394</v>
      </c>
      <c r="S30" s="165" t="s">
        <v>395</v>
      </c>
      <c r="T30" s="166"/>
      <c r="U30" s="181"/>
      <c r="V30" s="164"/>
      <c r="W30" s="63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5">
        <f t="shared" si="7"/>
        <v>0</v>
      </c>
      <c r="AK30" s="65">
        <f t="shared" si="4"/>
        <v>0</v>
      </c>
      <c r="AL30" s="205">
        <f t="shared" si="6"/>
        <v>0</v>
      </c>
      <c r="AN30"/>
      <c r="AO30" s="214"/>
      <c r="AP30" s="214"/>
      <c r="AQ30" s="214"/>
      <c r="AR30" s="214"/>
      <c r="AS30" s="214"/>
      <c r="AT30" s="214"/>
      <c r="AU30" s="214"/>
      <c r="AV30" s="214"/>
    </row>
    <row r="31" spans="3:48" s="59" customFormat="1" ht="39.75" customHeight="1" x14ac:dyDescent="0.3">
      <c r="C31" s="66" t="s">
        <v>539</v>
      </c>
      <c r="D31" s="67" t="s">
        <v>570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169">
        <f t="shared" si="22"/>
        <v>0</v>
      </c>
      <c r="R31" s="175" t="s">
        <v>539</v>
      </c>
      <c r="S31" s="175" t="s">
        <v>570</v>
      </c>
      <c r="T31" s="176">
        <v>920000</v>
      </c>
      <c r="U31" s="183">
        <f t="shared" ref="U31" si="25">+Q31+T31</f>
        <v>920000</v>
      </c>
      <c r="V31" s="173" t="s">
        <v>539</v>
      </c>
      <c r="W31" s="130" t="s">
        <v>570</v>
      </c>
      <c r="X31" s="131"/>
      <c r="Y31" s="131"/>
      <c r="Z31" s="131"/>
      <c r="AA31" s="131"/>
      <c r="AB31" s="131">
        <v>0</v>
      </c>
      <c r="AC31" s="131">
        <v>165000</v>
      </c>
      <c r="AD31" s="131">
        <v>165000</v>
      </c>
      <c r="AE31" s="131">
        <v>132500</v>
      </c>
      <c r="AF31" s="131">
        <f>+'Reporte Devengado Aprobado'!L26</f>
        <v>107500</v>
      </c>
      <c r="AG31" s="131">
        <v>107500</v>
      </c>
      <c r="AH31" s="131"/>
      <c r="AI31" s="131"/>
      <c r="AJ31" s="132">
        <f t="shared" si="7"/>
        <v>677500</v>
      </c>
      <c r="AK31" s="132">
        <f t="shared" si="4"/>
        <v>242500</v>
      </c>
      <c r="AL31" s="204">
        <f t="shared" si="6"/>
        <v>0.73641304347826086</v>
      </c>
      <c r="AN31"/>
      <c r="AO31" s="131">
        <f>IFERROR(AVERAGE(X31:AD31),0)</f>
        <v>110000</v>
      </c>
      <c r="AP31" s="131">
        <f>+AE31</f>
        <v>132500</v>
      </c>
      <c r="AQ31" s="131">
        <f t="shared" ref="AQ31:AT31" si="26">+AP31</f>
        <v>132500</v>
      </c>
      <c r="AR31" s="131">
        <f t="shared" si="26"/>
        <v>132500</v>
      </c>
      <c r="AS31" s="131">
        <f t="shared" si="26"/>
        <v>132500</v>
      </c>
      <c r="AT31" s="131">
        <f t="shared" si="26"/>
        <v>132500</v>
      </c>
      <c r="AU31" s="131">
        <f>SUM(AQ31:AT31)</f>
        <v>530000</v>
      </c>
      <c r="AV31" s="217">
        <f>+AK31-AU31</f>
        <v>-287500</v>
      </c>
    </row>
    <row r="32" spans="3:48" s="59" customFormat="1" ht="39.75" customHeight="1" x14ac:dyDescent="0.25">
      <c r="C32" s="62"/>
      <c r="D32" s="63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63">
        <f t="shared" si="22"/>
        <v>0</v>
      </c>
      <c r="R32" s="165" t="s">
        <v>394</v>
      </c>
      <c r="S32" s="165" t="s">
        <v>395</v>
      </c>
      <c r="T32" s="166"/>
      <c r="U32" s="181"/>
      <c r="V32" s="164"/>
      <c r="W32" s="63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5">
        <f t="shared" si="7"/>
        <v>0</v>
      </c>
      <c r="AK32" s="65">
        <f t="shared" si="4"/>
        <v>0</v>
      </c>
      <c r="AL32" s="205">
        <f t="shared" si="6"/>
        <v>0</v>
      </c>
      <c r="AN32"/>
      <c r="AO32" s="214"/>
      <c r="AP32" s="214"/>
      <c r="AQ32" s="214"/>
      <c r="AR32" s="214"/>
      <c r="AS32" s="214"/>
      <c r="AT32" s="214"/>
      <c r="AU32" s="214"/>
      <c r="AV32" s="214"/>
    </row>
    <row r="33" spans="3:48" s="59" customFormat="1" ht="40.5" customHeight="1" x14ac:dyDescent="0.3">
      <c r="C33" s="66" t="s">
        <v>114</v>
      </c>
      <c r="D33" s="67" t="s">
        <v>402</v>
      </c>
      <c r="E33" s="68">
        <f t="shared" ref="E33:P33" si="27">SUM(E34)</f>
        <v>595000</v>
      </c>
      <c r="F33" s="68">
        <f t="shared" si="27"/>
        <v>595000</v>
      </c>
      <c r="G33" s="68">
        <f t="shared" si="27"/>
        <v>595000</v>
      </c>
      <c r="H33" s="68">
        <f t="shared" si="27"/>
        <v>595000</v>
      </c>
      <c r="I33" s="68">
        <f t="shared" si="27"/>
        <v>595000</v>
      </c>
      <c r="J33" s="68">
        <f t="shared" si="27"/>
        <v>595000</v>
      </c>
      <c r="K33" s="68">
        <f t="shared" si="27"/>
        <v>595000</v>
      </c>
      <c r="L33" s="68">
        <f t="shared" si="27"/>
        <v>595000</v>
      </c>
      <c r="M33" s="68">
        <f t="shared" si="27"/>
        <v>595000</v>
      </c>
      <c r="N33" s="68">
        <f t="shared" si="27"/>
        <v>595000</v>
      </c>
      <c r="O33" s="68">
        <f t="shared" si="27"/>
        <v>595000</v>
      </c>
      <c r="P33" s="68">
        <f t="shared" si="27"/>
        <v>595000</v>
      </c>
      <c r="Q33" s="169">
        <f t="shared" si="22"/>
        <v>7140000</v>
      </c>
      <c r="R33" s="175" t="s">
        <v>114</v>
      </c>
      <c r="S33" s="175" t="s">
        <v>402</v>
      </c>
      <c r="T33" s="176">
        <v>949000</v>
      </c>
      <c r="U33" s="183">
        <f t="shared" ref="U33" si="28">+Q33+T33</f>
        <v>8089000</v>
      </c>
      <c r="V33" s="173" t="s">
        <v>114</v>
      </c>
      <c r="W33" s="130" t="s">
        <v>402</v>
      </c>
      <c r="X33" s="131">
        <f t="shared" ref="X33:AD33" si="29">SUM(X34)</f>
        <v>0</v>
      </c>
      <c r="Y33" s="131">
        <f t="shared" si="29"/>
        <v>1333500</v>
      </c>
      <c r="Z33" s="131">
        <f t="shared" si="29"/>
        <v>697833.33</v>
      </c>
      <c r="AA33" s="131">
        <f t="shared" si="29"/>
        <v>686000</v>
      </c>
      <c r="AB33" s="131">
        <f t="shared" si="29"/>
        <v>0</v>
      </c>
      <c r="AC33" s="131">
        <f t="shared" si="29"/>
        <v>849666.67</v>
      </c>
      <c r="AD33" s="131">
        <f t="shared" si="29"/>
        <v>375000</v>
      </c>
      <c r="AE33" s="131">
        <v>361000</v>
      </c>
      <c r="AF33" s="131">
        <f>+'Reporte Devengado Aprobado'!L37</f>
        <v>383800</v>
      </c>
      <c r="AG33" s="131">
        <v>399000</v>
      </c>
      <c r="AH33" s="131">
        <f>SUM(AH34)</f>
        <v>0</v>
      </c>
      <c r="AI33" s="131">
        <f>SUM(AI34)</f>
        <v>0</v>
      </c>
      <c r="AJ33" s="132">
        <f t="shared" si="7"/>
        <v>5085800</v>
      </c>
      <c r="AK33" s="132">
        <f t="shared" si="4"/>
        <v>3003200</v>
      </c>
      <c r="AL33" s="204">
        <f t="shared" si="6"/>
        <v>0.6287303745827667</v>
      </c>
      <c r="AN33"/>
      <c r="AO33" s="131">
        <v>393000</v>
      </c>
      <c r="AP33" s="131">
        <f>+AE33</f>
        <v>361000</v>
      </c>
      <c r="AQ33" s="131">
        <v>393000</v>
      </c>
      <c r="AR33" s="131">
        <f t="shared" ref="AR33:AT33" si="30">+AQ33</f>
        <v>393000</v>
      </c>
      <c r="AS33" s="131">
        <f t="shared" si="30"/>
        <v>393000</v>
      </c>
      <c r="AT33" s="131">
        <f t="shared" si="30"/>
        <v>393000</v>
      </c>
      <c r="AU33" s="131">
        <f>SUM(AQ33:AT33)</f>
        <v>1572000</v>
      </c>
      <c r="AV33" s="217">
        <f>+AK33-AU33</f>
        <v>1431200</v>
      </c>
    </row>
    <row r="34" spans="3:48" s="59" customFormat="1" ht="28.5" customHeight="1" x14ac:dyDescent="0.25">
      <c r="C34" s="62" t="s">
        <v>394</v>
      </c>
      <c r="D34" s="63" t="s">
        <v>395</v>
      </c>
      <c r="E34" s="69">
        <v>595000</v>
      </c>
      <c r="F34" s="69">
        <v>595000</v>
      </c>
      <c r="G34" s="69">
        <v>595000</v>
      </c>
      <c r="H34" s="69">
        <v>595000</v>
      </c>
      <c r="I34" s="69">
        <v>595000</v>
      </c>
      <c r="J34" s="69">
        <v>595000</v>
      </c>
      <c r="K34" s="69">
        <v>595000</v>
      </c>
      <c r="L34" s="69">
        <v>595000</v>
      </c>
      <c r="M34" s="69">
        <v>595000</v>
      </c>
      <c r="N34" s="69">
        <v>595000</v>
      </c>
      <c r="O34" s="69">
        <v>595000</v>
      </c>
      <c r="P34" s="69">
        <v>595000</v>
      </c>
      <c r="Q34" s="163">
        <f t="shared" si="22"/>
        <v>7140000</v>
      </c>
      <c r="R34" s="165" t="s">
        <v>394</v>
      </c>
      <c r="S34" s="165" t="s">
        <v>395</v>
      </c>
      <c r="T34" s="203"/>
      <c r="U34" s="177"/>
      <c r="V34" s="164" t="s">
        <v>394</v>
      </c>
      <c r="W34" s="63" t="s">
        <v>395</v>
      </c>
      <c r="X34" s="69"/>
      <c r="Y34" s="69">
        <f>+'[2]Feb. Seg.'!$E$25+'[1]Ene Seg.'!$E$24+'[2]Feb. Adicional segurid'!$E$7</f>
        <v>1333500</v>
      </c>
      <c r="Z34" s="69">
        <f>+[3]Seguridad!$E$34</f>
        <v>697833.33</v>
      </c>
      <c r="AA34" s="69">
        <f>+[4]Seguridad!$E$31</f>
        <v>686000</v>
      </c>
      <c r="AB34" s="69">
        <v>0</v>
      </c>
      <c r="AC34" s="69">
        <v>849666.67</v>
      </c>
      <c r="AD34" s="69">
        <v>375000</v>
      </c>
      <c r="AE34" s="69"/>
      <c r="AF34" s="69"/>
      <c r="AG34" s="69"/>
      <c r="AH34" s="69"/>
      <c r="AI34" s="69"/>
      <c r="AJ34" s="65">
        <f t="shared" si="7"/>
        <v>3942000</v>
      </c>
      <c r="AK34" s="65">
        <f t="shared" si="4"/>
        <v>-3942000</v>
      </c>
      <c r="AL34" s="205">
        <f t="shared" si="6"/>
        <v>0</v>
      </c>
      <c r="AN34"/>
      <c r="AO34" s="214"/>
      <c r="AP34" s="214"/>
      <c r="AQ34" s="214"/>
      <c r="AR34" s="214"/>
      <c r="AS34" s="214"/>
      <c r="AT34" s="214"/>
      <c r="AU34" s="214"/>
      <c r="AV34" s="214"/>
    </row>
    <row r="35" spans="3:48" s="59" customFormat="1" ht="40.5" customHeight="1" x14ac:dyDescent="0.3">
      <c r="C35" s="70" t="s">
        <v>102</v>
      </c>
      <c r="D35" s="67" t="s">
        <v>403</v>
      </c>
      <c r="E35" s="68">
        <f>E36</f>
        <v>16500</v>
      </c>
      <c r="F35" s="68">
        <f>F36</f>
        <v>16500</v>
      </c>
      <c r="G35" s="68">
        <f>G36</f>
        <v>16500</v>
      </c>
      <c r="H35" s="68">
        <f>H36</f>
        <v>16500</v>
      </c>
      <c r="I35" s="68"/>
      <c r="J35" s="68"/>
      <c r="K35" s="68"/>
      <c r="L35" s="68"/>
      <c r="M35" s="68"/>
      <c r="N35" s="68"/>
      <c r="O35" s="68"/>
      <c r="P35" s="68"/>
      <c r="Q35" s="169">
        <f t="shared" si="22"/>
        <v>66000</v>
      </c>
      <c r="R35" s="175" t="s">
        <v>102</v>
      </c>
      <c r="S35" s="175" t="s">
        <v>403</v>
      </c>
      <c r="T35" s="176">
        <v>-66000</v>
      </c>
      <c r="U35" s="183">
        <f t="shared" ref="U35" si="31">+Q35+T35</f>
        <v>0</v>
      </c>
      <c r="V35" s="173" t="s">
        <v>102</v>
      </c>
      <c r="W35" s="130" t="s">
        <v>403</v>
      </c>
      <c r="X35" s="131">
        <f>X36</f>
        <v>0</v>
      </c>
      <c r="Y35" s="131">
        <f>Y36</f>
        <v>0</v>
      </c>
      <c r="Z35" s="131">
        <f>Z36</f>
        <v>0</v>
      </c>
      <c r="AA35" s="131">
        <f>AA36</f>
        <v>0</v>
      </c>
      <c r="AB35" s="131"/>
      <c r="AC35" s="131"/>
      <c r="AD35" s="131">
        <v>0</v>
      </c>
      <c r="AE35" s="131"/>
      <c r="AF35" s="131"/>
      <c r="AG35" s="131"/>
      <c r="AH35" s="131"/>
      <c r="AI35" s="131"/>
      <c r="AJ35" s="132">
        <f t="shared" si="7"/>
        <v>0</v>
      </c>
      <c r="AK35" s="200">
        <f t="shared" si="4"/>
        <v>0</v>
      </c>
      <c r="AL35" s="204">
        <f t="shared" si="6"/>
        <v>0</v>
      </c>
      <c r="AN35"/>
      <c r="AO35" s="131">
        <f>IFERROR(AVERAGE(X35:AD35),0)</f>
        <v>0</v>
      </c>
      <c r="AP35" s="131">
        <f>+AO35</f>
        <v>0</v>
      </c>
      <c r="AQ35" s="131">
        <f t="shared" ref="AQ35:AT35" si="32">+AP35</f>
        <v>0</v>
      </c>
      <c r="AR35" s="131">
        <f t="shared" si="32"/>
        <v>0</v>
      </c>
      <c r="AS35" s="131">
        <f t="shared" si="32"/>
        <v>0</v>
      </c>
      <c r="AT35" s="131">
        <f t="shared" si="32"/>
        <v>0</v>
      </c>
      <c r="AU35" s="131">
        <f>SUM(AQ35:AT35)</f>
        <v>0</v>
      </c>
      <c r="AV35" s="217">
        <f>+AK35-AU35</f>
        <v>0</v>
      </c>
    </row>
    <row r="36" spans="3:48" s="59" customFormat="1" ht="43.5" customHeight="1" x14ac:dyDescent="0.25">
      <c r="C36" s="62" t="s">
        <v>394</v>
      </c>
      <c r="D36" s="63" t="s">
        <v>404</v>
      </c>
      <c r="E36" s="69">
        <v>16500</v>
      </c>
      <c r="F36" s="69">
        <v>16500</v>
      </c>
      <c r="G36" s="69">
        <v>16500</v>
      </c>
      <c r="H36" s="69">
        <v>16500</v>
      </c>
      <c r="I36" s="69"/>
      <c r="J36" s="69"/>
      <c r="K36" s="69"/>
      <c r="L36" s="69"/>
      <c r="M36" s="69"/>
      <c r="N36" s="69"/>
      <c r="O36" s="69"/>
      <c r="P36" s="69"/>
      <c r="Q36" s="163">
        <f t="shared" si="22"/>
        <v>66000</v>
      </c>
      <c r="R36" s="165" t="s">
        <v>394</v>
      </c>
      <c r="S36" s="165" t="s">
        <v>404</v>
      </c>
      <c r="T36" s="166"/>
      <c r="U36" s="181"/>
      <c r="V36" s="164" t="s">
        <v>394</v>
      </c>
      <c r="W36" s="63" t="s">
        <v>404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5">
        <f t="shared" si="7"/>
        <v>0</v>
      </c>
      <c r="AK36" s="65">
        <f t="shared" si="4"/>
        <v>0</v>
      </c>
      <c r="AL36" s="205">
        <f t="shared" si="6"/>
        <v>0</v>
      </c>
      <c r="AN36"/>
      <c r="AO36" s="214"/>
      <c r="AP36" s="214"/>
      <c r="AQ36" s="214"/>
      <c r="AR36" s="214"/>
      <c r="AS36" s="214"/>
      <c r="AT36" s="214"/>
      <c r="AU36" s="214"/>
      <c r="AV36" s="214"/>
    </row>
    <row r="37" spans="3:48" s="59" customFormat="1" ht="40.5" customHeight="1" x14ac:dyDescent="0.3">
      <c r="C37" s="66" t="s">
        <v>105</v>
      </c>
      <c r="D37" s="67" t="s">
        <v>405</v>
      </c>
      <c r="E37" s="68">
        <f t="shared" ref="E37:P37" si="33">SUM(E38:E40)</f>
        <v>0</v>
      </c>
      <c r="F37" s="68">
        <f t="shared" si="33"/>
        <v>0</v>
      </c>
      <c r="G37" s="68">
        <f t="shared" si="33"/>
        <v>0</v>
      </c>
      <c r="H37" s="68">
        <f t="shared" si="33"/>
        <v>0</v>
      </c>
      <c r="I37" s="68">
        <f t="shared" si="33"/>
        <v>0</v>
      </c>
      <c r="J37" s="68">
        <f t="shared" si="33"/>
        <v>0</v>
      </c>
      <c r="K37" s="68">
        <f t="shared" si="33"/>
        <v>0</v>
      </c>
      <c r="L37" s="68">
        <f t="shared" si="33"/>
        <v>0</v>
      </c>
      <c r="M37" s="68">
        <f t="shared" si="33"/>
        <v>0</v>
      </c>
      <c r="N37" s="68">
        <f t="shared" si="33"/>
        <v>0</v>
      </c>
      <c r="O37" s="68">
        <f t="shared" si="33"/>
        <v>6186000</v>
      </c>
      <c r="P37" s="68">
        <f t="shared" si="33"/>
        <v>0</v>
      </c>
      <c r="Q37" s="169">
        <f t="shared" si="22"/>
        <v>6186000</v>
      </c>
      <c r="R37" s="175" t="s">
        <v>105</v>
      </c>
      <c r="S37" s="175" t="s">
        <v>405</v>
      </c>
      <c r="T37" s="202">
        <v>678400</v>
      </c>
      <c r="U37" s="183">
        <f t="shared" ref="U37" si="34">+Q37+T37</f>
        <v>6864400</v>
      </c>
      <c r="V37" s="173" t="s">
        <v>105</v>
      </c>
      <c r="W37" s="130" t="s">
        <v>405</v>
      </c>
      <c r="X37" s="131">
        <f t="shared" ref="X37:AI37" si="35">SUM(X38:X40)</f>
        <v>0</v>
      </c>
      <c r="Y37" s="131">
        <f t="shared" si="35"/>
        <v>0</v>
      </c>
      <c r="Z37" s="131">
        <f t="shared" si="35"/>
        <v>0</v>
      </c>
      <c r="AA37" s="131">
        <f t="shared" si="35"/>
        <v>0</v>
      </c>
      <c r="AB37" s="131">
        <f t="shared" si="35"/>
        <v>0</v>
      </c>
      <c r="AC37" s="131">
        <f t="shared" si="35"/>
        <v>0</v>
      </c>
      <c r="AD37" s="131">
        <f t="shared" si="35"/>
        <v>0</v>
      </c>
      <c r="AE37" s="131">
        <f t="shared" si="35"/>
        <v>0</v>
      </c>
      <c r="AF37" s="131">
        <f t="shared" si="35"/>
        <v>0</v>
      </c>
      <c r="AG37" s="131">
        <f t="shared" si="35"/>
        <v>0</v>
      </c>
      <c r="AH37" s="131">
        <f t="shared" si="35"/>
        <v>0</v>
      </c>
      <c r="AI37" s="131">
        <f t="shared" si="35"/>
        <v>0</v>
      </c>
      <c r="AJ37" s="132">
        <f t="shared" si="7"/>
        <v>0</v>
      </c>
      <c r="AK37" s="132">
        <f t="shared" si="4"/>
        <v>6864400</v>
      </c>
      <c r="AL37" s="204">
        <f t="shared" si="6"/>
        <v>0</v>
      </c>
      <c r="AN37"/>
      <c r="AO37" s="131">
        <f>+AK37</f>
        <v>6864400</v>
      </c>
      <c r="AP37" s="131"/>
      <c r="AQ37" s="131">
        <f t="shared" ref="AQ37:AR37" si="36">+AP37</f>
        <v>0</v>
      </c>
      <c r="AR37" s="131">
        <f t="shared" si="36"/>
        <v>0</v>
      </c>
      <c r="AS37" s="131"/>
      <c r="AT37" s="131">
        <f>+AO37</f>
        <v>6864400</v>
      </c>
      <c r="AU37" s="131">
        <f>SUM(AQ37:AT37)</f>
        <v>6864400</v>
      </c>
      <c r="AV37" s="217">
        <f>+AK37-AU37</f>
        <v>0</v>
      </c>
    </row>
    <row r="38" spans="3:48" s="59" customFormat="1" ht="35.25" customHeight="1" x14ac:dyDescent="0.25">
      <c r="C38" s="62" t="s">
        <v>394</v>
      </c>
      <c r="D38" s="63" t="s">
        <v>406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v>3600000</v>
      </c>
      <c r="P38" s="69"/>
      <c r="Q38" s="163">
        <f t="shared" si="22"/>
        <v>3600000</v>
      </c>
      <c r="R38" s="165" t="s">
        <v>394</v>
      </c>
      <c r="S38" s="165" t="s">
        <v>406</v>
      </c>
      <c r="T38" s="166"/>
      <c r="U38" s="181"/>
      <c r="V38" s="164" t="s">
        <v>394</v>
      </c>
      <c r="W38" s="63" t="s">
        <v>406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5">
        <f t="shared" si="7"/>
        <v>0</v>
      </c>
      <c r="AK38" s="65">
        <f t="shared" si="4"/>
        <v>0</v>
      </c>
      <c r="AL38" s="205">
        <f t="shared" si="6"/>
        <v>0</v>
      </c>
      <c r="AN38"/>
      <c r="AO38" s="214"/>
      <c r="AP38" s="214"/>
      <c r="AQ38" s="214"/>
      <c r="AR38" s="214"/>
      <c r="AS38" s="214"/>
      <c r="AT38" s="214"/>
      <c r="AU38" s="214"/>
      <c r="AV38" s="214"/>
    </row>
    <row r="39" spans="3:48" s="59" customFormat="1" ht="35.25" customHeight="1" x14ac:dyDescent="0.25">
      <c r="C39" s="62" t="s">
        <v>396</v>
      </c>
      <c r="D39" s="63" t="s">
        <v>407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>
        <v>1886000</v>
      </c>
      <c r="P39" s="69"/>
      <c r="Q39" s="163">
        <f t="shared" si="22"/>
        <v>1886000</v>
      </c>
      <c r="R39" s="165" t="s">
        <v>396</v>
      </c>
      <c r="S39" s="165" t="s">
        <v>407</v>
      </c>
      <c r="T39" s="166"/>
      <c r="U39" s="181"/>
      <c r="V39" s="164" t="s">
        <v>396</v>
      </c>
      <c r="W39" s="63" t="s">
        <v>407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5">
        <f t="shared" si="7"/>
        <v>0</v>
      </c>
      <c r="AK39" s="65">
        <f t="shared" si="4"/>
        <v>0</v>
      </c>
      <c r="AL39" s="205">
        <f t="shared" si="6"/>
        <v>0</v>
      </c>
      <c r="AN39"/>
      <c r="AO39" s="214"/>
      <c r="AP39" s="214"/>
      <c r="AQ39" s="214"/>
      <c r="AR39" s="214"/>
      <c r="AS39" s="214"/>
      <c r="AT39" s="214"/>
      <c r="AU39" s="214"/>
      <c r="AV39" s="214"/>
    </row>
    <row r="40" spans="3:48" s="59" customFormat="1" ht="35.25" customHeight="1" x14ac:dyDescent="0.25">
      <c r="C40" s="62" t="s">
        <v>398</v>
      </c>
      <c r="D40" s="63" t="s">
        <v>408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700000</v>
      </c>
      <c r="P40" s="69"/>
      <c r="Q40" s="163">
        <f t="shared" si="22"/>
        <v>700000</v>
      </c>
      <c r="R40" s="165" t="s">
        <v>398</v>
      </c>
      <c r="S40" s="165" t="s">
        <v>408</v>
      </c>
      <c r="T40" s="166"/>
      <c r="U40" s="181"/>
      <c r="V40" s="164" t="s">
        <v>398</v>
      </c>
      <c r="W40" s="63" t="s">
        <v>408</v>
      </c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5">
        <f t="shared" si="7"/>
        <v>0</v>
      </c>
      <c r="AK40" s="65">
        <f t="shared" si="4"/>
        <v>0</v>
      </c>
      <c r="AL40" s="205">
        <f t="shared" si="6"/>
        <v>0</v>
      </c>
      <c r="AN40"/>
      <c r="AO40" s="214"/>
      <c r="AP40" s="214"/>
      <c r="AQ40" s="214"/>
      <c r="AR40" s="214"/>
      <c r="AS40" s="214"/>
      <c r="AT40" s="214"/>
      <c r="AU40" s="214"/>
      <c r="AV40" s="214"/>
    </row>
    <row r="41" spans="3:48" s="59" customFormat="1" ht="35.25" customHeight="1" x14ac:dyDescent="0.3">
      <c r="C41" s="66" t="s">
        <v>590</v>
      </c>
      <c r="D41" s="67" t="s">
        <v>591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169">
        <f t="shared" si="22"/>
        <v>0</v>
      </c>
      <c r="R41" s="175" t="s">
        <v>590</v>
      </c>
      <c r="S41" s="175" t="s">
        <v>591</v>
      </c>
      <c r="T41" s="176">
        <v>669750</v>
      </c>
      <c r="U41" s="183">
        <f t="shared" ref="U41:U45" si="37">+Q41+T41</f>
        <v>669750</v>
      </c>
      <c r="V41" s="173" t="s">
        <v>590</v>
      </c>
      <c r="W41" s="130" t="s">
        <v>591</v>
      </c>
      <c r="X41" s="131"/>
      <c r="Y41" s="131"/>
      <c r="Z41" s="131"/>
      <c r="AA41" s="131"/>
      <c r="AB41" s="131"/>
      <c r="AC41" s="131">
        <v>255750</v>
      </c>
      <c r="AD41" s="131">
        <v>414000</v>
      </c>
      <c r="AE41" s="131">
        <v>0</v>
      </c>
      <c r="AF41" s="131"/>
      <c r="AG41" s="131"/>
      <c r="AH41" s="131"/>
      <c r="AI41" s="131"/>
      <c r="AJ41" s="132">
        <f t="shared" si="7"/>
        <v>669750</v>
      </c>
      <c r="AK41" s="132">
        <f t="shared" ref="AK41:AK72" si="38">+U41-AJ41</f>
        <v>0</v>
      </c>
      <c r="AL41" s="204">
        <f t="shared" si="6"/>
        <v>1</v>
      </c>
      <c r="AN41"/>
      <c r="AO41" s="131">
        <f t="shared" ref="AO41:AO45" si="39">IFERROR(AVERAGE(X41:AD41),0)</f>
        <v>334875</v>
      </c>
      <c r="AP41" s="131">
        <f>+AO41</f>
        <v>334875</v>
      </c>
      <c r="AQ41" s="131">
        <f t="shared" ref="AQ41:AT41" si="40">+AP41</f>
        <v>334875</v>
      </c>
      <c r="AR41" s="131">
        <f t="shared" si="40"/>
        <v>334875</v>
      </c>
      <c r="AS41" s="131">
        <f t="shared" si="40"/>
        <v>334875</v>
      </c>
      <c r="AT41" s="131">
        <f t="shared" si="40"/>
        <v>334875</v>
      </c>
      <c r="AU41" s="131">
        <f t="shared" ref="AU41:AU45" si="41">SUM(AQ41:AT41)</f>
        <v>1339500</v>
      </c>
      <c r="AV41" s="217">
        <f t="shared" ref="AV41:AV45" si="42">+AK41-AU41</f>
        <v>-1339500</v>
      </c>
    </row>
    <row r="42" spans="3:48" s="59" customFormat="1" ht="40.5" customHeight="1" x14ac:dyDescent="0.3">
      <c r="C42" s="66" t="s">
        <v>109</v>
      </c>
      <c r="D42" s="67" t="s">
        <v>409</v>
      </c>
      <c r="E42" s="68">
        <v>0</v>
      </c>
      <c r="F42" s="68">
        <v>0</v>
      </c>
      <c r="G42" s="68">
        <v>1500000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169">
        <f t="shared" si="22"/>
        <v>1500000</v>
      </c>
      <c r="R42" s="175" t="s">
        <v>109</v>
      </c>
      <c r="S42" s="175" t="s">
        <v>409</v>
      </c>
      <c r="T42" s="176">
        <v>2184425.52</v>
      </c>
      <c r="U42" s="183">
        <f t="shared" si="37"/>
        <v>3684425.52</v>
      </c>
      <c r="V42" s="173" t="s">
        <v>109</v>
      </c>
      <c r="W42" s="130" t="s">
        <v>409</v>
      </c>
      <c r="X42" s="131">
        <v>0</v>
      </c>
      <c r="Y42" s="131">
        <v>0</v>
      </c>
      <c r="Z42" s="131">
        <v>1070143.06</v>
      </c>
      <c r="AA42" s="131">
        <v>550992.16</v>
      </c>
      <c r="AB42" s="131">
        <v>0</v>
      </c>
      <c r="AC42" s="131">
        <v>961721.26</v>
      </c>
      <c r="AD42" s="131">
        <v>937471.16</v>
      </c>
      <c r="AE42" s="131">
        <v>94831.57</v>
      </c>
      <c r="AF42" s="131">
        <v>0</v>
      </c>
      <c r="AG42" s="131">
        <v>0</v>
      </c>
      <c r="AH42" s="131">
        <v>0</v>
      </c>
      <c r="AI42" s="131">
        <v>0</v>
      </c>
      <c r="AJ42" s="132">
        <f t="shared" si="7"/>
        <v>3615159.2100000004</v>
      </c>
      <c r="AK42" s="199">
        <f t="shared" si="38"/>
        <v>69266.30999999959</v>
      </c>
      <c r="AL42" s="204">
        <f t="shared" si="6"/>
        <v>0.98120024149653606</v>
      </c>
      <c r="AN42"/>
      <c r="AO42" s="131">
        <f t="shared" si="39"/>
        <v>502903.94857142866</v>
      </c>
      <c r="AP42" s="131">
        <f>+AO42</f>
        <v>502903.94857142866</v>
      </c>
      <c r="AQ42" s="131">
        <f t="shared" ref="AQ42:AT42" si="43">+AP42</f>
        <v>502903.94857142866</v>
      </c>
      <c r="AR42" s="131">
        <f t="shared" si="43"/>
        <v>502903.94857142866</v>
      </c>
      <c r="AS42" s="131">
        <f t="shared" si="43"/>
        <v>502903.94857142866</v>
      </c>
      <c r="AT42" s="131">
        <f t="shared" si="43"/>
        <v>502903.94857142866</v>
      </c>
      <c r="AU42" s="131">
        <f t="shared" si="41"/>
        <v>2011615.7942857146</v>
      </c>
      <c r="AV42" s="217">
        <f t="shared" si="42"/>
        <v>-1942349.484285715</v>
      </c>
    </row>
    <row r="43" spans="3:48" s="59" customFormat="1" ht="40.5" customHeight="1" x14ac:dyDescent="0.3">
      <c r="C43" s="71" t="s">
        <v>410</v>
      </c>
      <c r="D43" s="72" t="s">
        <v>411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68">
        <v>6186000</v>
      </c>
      <c r="P43" s="68">
        <v>0</v>
      </c>
      <c r="Q43" s="169">
        <f t="shared" si="22"/>
        <v>6186000</v>
      </c>
      <c r="R43" s="175" t="s">
        <v>410</v>
      </c>
      <c r="S43" s="175" t="s">
        <v>571</v>
      </c>
      <c r="T43" s="176">
        <v>-1940000</v>
      </c>
      <c r="U43" s="183">
        <f t="shared" si="37"/>
        <v>4246000</v>
      </c>
      <c r="V43" s="173" t="s">
        <v>410</v>
      </c>
      <c r="W43" s="130" t="s">
        <v>571</v>
      </c>
      <c r="X43" s="131">
        <v>0</v>
      </c>
      <c r="Y43" s="131">
        <v>0</v>
      </c>
      <c r="Z43" s="131">
        <v>0</v>
      </c>
      <c r="AA43" s="131">
        <v>0</v>
      </c>
      <c r="AB43" s="131">
        <v>0</v>
      </c>
      <c r="AC43" s="131">
        <v>4188166.68</v>
      </c>
      <c r="AD43" s="131">
        <v>-52819.86</v>
      </c>
      <c r="AE43" s="131">
        <v>52819.96</v>
      </c>
      <c r="AF43" s="131">
        <v>60000</v>
      </c>
      <c r="AG43" s="131">
        <v>0</v>
      </c>
      <c r="AH43" s="131"/>
      <c r="AI43" s="131">
        <v>0</v>
      </c>
      <c r="AJ43" s="132">
        <f t="shared" si="7"/>
        <v>4248166.78</v>
      </c>
      <c r="AK43" s="132">
        <f t="shared" si="38"/>
        <v>-2166.7800000002608</v>
      </c>
      <c r="AL43" s="204">
        <f t="shared" si="6"/>
        <v>1.0005103108808291</v>
      </c>
      <c r="AN43"/>
      <c r="AO43" s="131">
        <f>+AJ43</f>
        <v>4248166.78</v>
      </c>
      <c r="AP43" s="131">
        <v>52819.86</v>
      </c>
      <c r="AQ43" s="131"/>
      <c r="AR43" s="131"/>
      <c r="AS43" s="131"/>
      <c r="AT43" s="131"/>
      <c r="AU43" s="131">
        <f t="shared" si="41"/>
        <v>0</v>
      </c>
      <c r="AV43" s="217">
        <f t="shared" si="42"/>
        <v>-2166.7800000002608</v>
      </c>
    </row>
    <row r="44" spans="3:48" s="59" customFormat="1" ht="40.5" customHeight="1" x14ac:dyDescent="0.3">
      <c r="C44" s="71" t="s">
        <v>559</v>
      </c>
      <c r="D44" s="72" t="s">
        <v>572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169">
        <f t="shared" si="22"/>
        <v>0</v>
      </c>
      <c r="R44" s="175" t="s">
        <v>559</v>
      </c>
      <c r="S44" s="175" t="s">
        <v>572</v>
      </c>
      <c r="T44" s="176">
        <v>1061000</v>
      </c>
      <c r="U44" s="183">
        <f t="shared" si="37"/>
        <v>1061000</v>
      </c>
      <c r="V44" s="173" t="s">
        <v>559</v>
      </c>
      <c r="W44" s="130" t="s">
        <v>572</v>
      </c>
      <c r="X44" s="131"/>
      <c r="Y44" s="131"/>
      <c r="Z44" s="131"/>
      <c r="AA44" s="131"/>
      <c r="AB44" s="131">
        <v>996000</v>
      </c>
      <c r="AC44" s="131">
        <v>65000</v>
      </c>
      <c r="AD44" s="131">
        <v>0</v>
      </c>
      <c r="AE44" s="131"/>
      <c r="AF44" s="131"/>
      <c r="AG44" s="131"/>
      <c r="AH44" s="131"/>
      <c r="AI44" s="131"/>
      <c r="AJ44" s="132">
        <f t="shared" si="7"/>
        <v>1061000</v>
      </c>
      <c r="AK44" s="200">
        <f t="shared" si="38"/>
        <v>0</v>
      </c>
      <c r="AL44" s="204">
        <f t="shared" si="6"/>
        <v>1</v>
      </c>
      <c r="AN44"/>
      <c r="AO44" s="131">
        <f>+AJ44</f>
        <v>1061000</v>
      </c>
      <c r="AP44" s="131"/>
      <c r="AQ44" s="131"/>
      <c r="AR44" s="131"/>
      <c r="AS44" s="131"/>
      <c r="AT44" s="131"/>
      <c r="AU44" s="131">
        <f t="shared" si="41"/>
        <v>0</v>
      </c>
      <c r="AV44" s="217">
        <f t="shared" si="42"/>
        <v>0</v>
      </c>
    </row>
    <row r="45" spans="3:48" s="59" customFormat="1" ht="38.25" customHeight="1" x14ac:dyDescent="0.3">
      <c r="C45" s="66" t="s">
        <v>116</v>
      </c>
      <c r="D45" s="67" t="s">
        <v>412</v>
      </c>
      <c r="E45" s="68">
        <f t="shared" ref="E45:P45" si="44">SUM(E46:E48)</f>
        <v>0</v>
      </c>
      <c r="F45" s="68">
        <f t="shared" si="44"/>
        <v>0</v>
      </c>
      <c r="G45" s="68">
        <f t="shared" si="44"/>
        <v>0</v>
      </c>
      <c r="H45" s="68">
        <f t="shared" si="44"/>
        <v>0</v>
      </c>
      <c r="I45" s="68">
        <f t="shared" si="44"/>
        <v>0</v>
      </c>
      <c r="J45" s="68">
        <f t="shared" si="44"/>
        <v>6186000</v>
      </c>
      <c r="K45" s="68">
        <f t="shared" si="44"/>
        <v>0</v>
      </c>
      <c r="L45" s="68">
        <f t="shared" si="44"/>
        <v>0</v>
      </c>
      <c r="M45" s="68">
        <f t="shared" si="44"/>
        <v>0</v>
      </c>
      <c r="N45" s="68">
        <f t="shared" si="44"/>
        <v>0</v>
      </c>
      <c r="O45" s="68">
        <f t="shared" si="44"/>
        <v>0</v>
      </c>
      <c r="P45" s="68">
        <f t="shared" si="44"/>
        <v>0</v>
      </c>
      <c r="Q45" s="169">
        <f t="shared" si="22"/>
        <v>6186000</v>
      </c>
      <c r="R45" s="175" t="s">
        <v>116</v>
      </c>
      <c r="S45" s="175" t="s">
        <v>412</v>
      </c>
      <c r="T45" s="176">
        <v>-2547553.9700000002</v>
      </c>
      <c r="U45" s="183">
        <f t="shared" si="37"/>
        <v>3638446.03</v>
      </c>
      <c r="V45" s="173" t="s">
        <v>116</v>
      </c>
      <c r="W45" s="130" t="s">
        <v>412</v>
      </c>
      <c r="X45" s="131">
        <f>SUM(X46:X48)</f>
        <v>0</v>
      </c>
      <c r="Y45" s="131">
        <f>SUM(Y46:Y48)</f>
        <v>0</v>
      </c>
      <c r="Z45" s="131">
        <f>SUM(Z46:Z48)</f>
        <v>0</v>
      </c>
      <c r="AA45" s="131">
        <f>SUM(AA46:AA48)</f>
        <v>0</v>
      </c>
      <c r="AB45" s="131">
        <f>SUM(AB46:AB48)</f>
        <v>0</v>
      </c>
      <c r="AC45" s="131">
        <v>0</v>
      </c>
      <c r="AD45" s="131">
        <v>0</v>
      </c>
      <c r="AE45" s="131">
        <f>SUM(AE46:AE48)</f>
        <v>0</v>
      </c>
      <c r="AF45" s="131">
        <f>SUM(AF46:AF48)</f>
        <v>0</v>
      </c>
      <c r="AG45" s="131">
        <f>SUM(AG46:AG48)</f>
        <v>0</v>
      </c>
      <c r="AH45" s="131">
        <f>SUM(AH46:AH48)</f>
        <v>0</v>
      </c>
      <c r="AI45" s="131">
        <f>SUM(AI46:AI48)</f>
        <v>0</v>
      </c>
      <c r="AJ45" s="132">
        <f t="shared" si="7"/>
        <v>0</v>
      </c>
      <c r="AK45" s="209">
        <f t="shared" si="38"/>
        <v>3638446.03</v>
      </c>
      <c r="AL45" s="204">
        <f t="shared" si="6"/>
        <v>0</v>
      </c>
      <c r="AN45"/>
      <c r="AO45" s="131">
        <f t="shared" si="39"/>
        <v>0</v>
      </c>
      <c r="AP45" s="131">
        <f>+AO45*$AO$6</f>
        <v>0</v>
      </c>
      <c r="AQ45" s="131">
        <f t="shared" ref="AQ45:AR45" si="45">+AP45*$AO$6</f>
        <v>0</v>
      </c>
      <c r="AR45" s="131">
        <f t="shared" si="45"/>
        <v>0</v>
      </c>
      <c r="AS45" s="131">
        <f>+AK45</f>
        <v>3638446.03</v>
      </c>
      <c r="AT45" s="131">
        <f>-AT37</f>
        <v>-6864400</v>
      </c>
      <c r="AU45" s="215">
        <f t="shared" si="41"/>
        <v>-3225953.97</v>
      </c>
      <c r="AV45" s="217">
        <f t="shared" si="42"/>
        <v>6864400</v>
      </c>
    </row>
    <row r="46" spans="3:48" s="59" customFormat="1" ht="23.25" customHeight="1" x14ac:dyDescent="0.25">
      <c r="C46" s="62" t="s">
        <v>394</v>
      </c>
      <c r="D46" s="63" t="s">
        <v>413</v>
      </c>
      <c r="E46" s="69"/>
      <c r="F46" s="69"/>
      <c r="G46" s="69"/>
      <c r="H46" s="69"/>
      <c r="I46" s="69"/>
      <c r="J46" s="69">
        <v>3600000</v>
      </c>
      <c r="K46" s="69"/>
      <c r="L46" s="69"/>
      <c r="M46" s="69"/>
      <c r="N46" s="69"/>
      <c r="O46" s="69"/>
      <c r="P46" s="69"/>
      <c r="Q46" s="163">
        <f t="shared" si="22"/>
        <v>3600000</v>
      </c>
      <c r="R46" s="165" t="s">
        <v>394</v>
      </c>
      <c r="S46" s="165" t="s">
        <v>413</v>
      </c>
      <c r="T46" s="167"/>
      <c r="U46" s="182"/>
      <c r="V46" s="164" t="s">
        <v>394</v>
      </c>
      <c r="W46" s="63" t="s">
        <v>413</v>
      </c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5">
        <f t="shared" si="7"/>
        <v>0</v>
      </c>
      <c r="AK46" s="65">
        <f t="shared" si="38"/>
        <v>0</v>
      </c>
      <c r="AL46" s="205">
        <f t="shared" si="6"/>
        <v>0</v>
      </c>
      <c r="AN46"/>
      <c r="AO46" s="214"/>
      <c r="AP46" s="214"/>
      <c r="AQ46" s="214"/>
      <c r="AR46" s="214"/>
      <c r="AS46" s="214"/>
      <c r="AT46" s="214"/>
      <c r="AU46" s="214"/>
      <c r="AV46" s="214"/>
    </row>
    <row r="47" spans="3:48" s="59" customFormat="1" ht="28.5" customHeight="1" x14ac:dyDescent="0.25">
      <c r="C47" s="62" t="s">
        <v>396</v>
      </c>
      <c r="D47" s="63" t="s">
        <v>414</v>
      </c>
      <c r="E47" s="69"/>
      <c r="F47" s="69"/>
      <c r="G47" s="69"/>
      <c r="H47" s="69"/>
      <c r="I47" s="69"/>
      <c r="J47" s="69">
        <v>1886000</v>
      </c>
      <c r="K47" s="69"/>
      <c r="L47" s="69"/>
      <c r="M47" s="69"/>
      <c r="N47" s="69"/>
      <c r="O47" s="69"/>
      <c r="P47" s="69"/>
      <c r="Q47" s="163">
        <f t="shared" si="22"/>
        <v>1886000</v>
      </c>
      <c r="R47" s="165" t="s">
        <v>396</v>
      </c>
      <c r="S47" s="165" t="s">
        <v>414</v>
      </c>
      <c r="T47" s="166"/>
      <c r="U47" s="181"/>
      <c r="V47" s="164" t="s">
        <v>396</v>
      </c>
      <c r="W47" s="63" t="s">
        <v>414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5">
        <f t="shared" si="7"/>
        <v>0</v>
      </c>
      <c r="AK47" s="65">
        <f t="shared" si="38"/>
        <v>0</v>
      </c>
      <c r="AL47" s="205">
        <f t="shared" si="6"/>
        <v>0</v>
      </c>
      <c r="AN47"/>
      <c r="AO47" s="214"/>
      <c r="AP47" s="214"/>
      <c r="AQ47" s="214"/>
      <c r="AR47" s="214"/>
      <c r="AS47" s="214"/>
      <c r="AT47" s="214"/>
      <c r="AU47" s="214"/>
      <c r="AV47" s="214"/>
    </row>
    <row r="48" spans="3:48" s="59" customFormat="1" ht="34.5" customHeight="1" x14ac:dyDescent="0.25">
      <c r="C48" s="62" t="s">
        <v>398</v>
      </c>
      <c r="D48" s="63" t="s">
        <v>415</v>
      </c>
      <c r="E48" s="69"/>
      <c r="F48" s="69"/>
      <c r="G48" s="69"/>
      <c r="H48" s="69"/>
      <c r="I48" s="69"/>
      <c r="J48" s="69">
        <v>700000</v>
      </c>
      <c r="K48" s="69"/>
      <c r="L48" s="69"/>
      <c r="M48" s="69"/>
      <c r="N48" s="69"/>
      <c r="O48" s="69"/>
      <c r="P48" s="69"/>
      <c r="Q48" s="163">
        <f t="shared" si="22"/>
        <v>700000</v>
      </c>
      <c r="R48" s="165" t="s">
        <v>398</v>
      </c>
      <c r="S48" s="165" t="s">
        <v>415</v>
      </c>
      <c r="T48" s="166"/>
      <c r="U48" s="181"/>
      <c r="V48" s="164" t="s">
        <v>398</v>
      </c>
      <c r="W48" s="63" t="s">
        <v>415</v>
      </c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5">
        <f t="shared" si="7"/>
        <v>0</v>
      </c>
      <c r="AK48" s="65">
        <f t="shared" si="38"/>
        <v>0</v>
      </c>
      <c r="AL48" s="205">
        <f t="shared" si="6"/>
        <v>0</v>
      </c>
      <c r="AN48"/>
      <c r="AO48" s="214"/>
      <c r="AP48" s="214"/>
      <c r="AQ48" s="214"/>
      <c r="AR48" s="214"/>
      <c r="AS48" s="214"/>
      <c r="AT48" s="214"/>
      <c r="AU48" s="214"/>
      <c r="AV48" s="214"/>
    </row>
    <row r="49" spans="3:48" s="59" customFormat="1" ht="30" x14ac:dyDescent="0.25">
      <c r="C49" s="66" t="s">
        <v>416</v>
      </c>
      <c r="D49" s="67" t="s">
        <v>417</v>
      </c>
      <c r="E49" s="68">
        <f t="shared" ref="E49:P49" si="46">SUM(E50:E52)</f>
        <v>0</v>
      </c>
      <c r="F49" s="68">
        <f t="shared" si="46"/>
        <v>0</v>
      </c>
      <c r="G49" s="68">
        <f t="shared" si="46"/>
        <v>0</v>
      </c>
      <c r="H49" s="68">
        <f t="shared" si="46"/>
        <v>0</v>
      </c>
      <c r="I49" s="68">
        <f t="shared" si="46"/>
        <v>0</v>
      </c>
      <c r="J49" s="68">
        <f t="shared" si="46"/>
        <v>0</v>
      </c>
      <c r="K49" s="68">
        <f t="shared" si="46"/>
        <v>0</v>
      </c>
      <c r="L49" s="68">
        <f t="shared" si="46"/>
        <v>0</v>
      </c>
      <c r="M49" s="68">
        <f t="shared" si="46"/>
        <v>0</v>
      </c>
      <c r="N49" s="68">
        <f t="shared" si="46"/>
        <v>0</v>
      </c>
      <c r="O49" s="68">
        <f t="shared" si="46"/>
        <v>6186000</v>
      </c>
      <c r="P49" s="68">
        <f t="shared" si="46"/>
        <v>0</v>
      </c>
      <c r="Q49" s="169">
        <f t="shared" si="22"/>
        <v>6186000</v>
      </c>
      <c r="R49" s="175" t="s">
        <v>416</v>
      </c>
      <c r="S49" s="175" t="s">
        <v>573</v>
      </c>
      <c r="T49" s="176">
        <v>-6186000</v>
      </c>
      <c r="U49" s="183">
        <f t="shared" ref="U49" si="47">+Q49+T49</f>
        <v>0</v>
      </c>
      <c r="V49" s="173" t="s">
        <v>416</v>
      </c>
      <c r="W49" s="130" t="s">
        <v>573</v>
      </c>
      <c r="X49" s="131">
        <f>SUM(X50:X52)</f>
        <v>0</v>
      </c>
      <c r="Y49" s="131">
        <f>SUM(Y50:Y52)</f>
        <v>0</v>
      </c>
      <c r="Z49" s="131">
        <f>SUM(Z50:Z52)</f>
        <v>0</v>
      </c>
      <c r="AA49" s="131">
        <f>SUM(AA50:AA52)</f>
        <v>0</v>
      </c>
      <c r="AB49" s="131">
        <f>SUM(AB50:AB52)</f>
        <v>0</v>
      </c>
      <c r="AC49" s="131">
        <v>0</v>
      </c>
      <c r="AD49" s="131">
        <v>0</v>
      </c>
      <c r="AE49" s="131">
        <f>SUM(AE50:AE52)</f>
        <v>0</v>
      </c>
      <c r="AF49" s="131">
        <f>SUM(AF50:AF52)</f>
        <v>0</v>
      </c>
      <c r="AG49" s="131">
        <f>SUM(AG50:AG52)</f>
        <v>0</v>
      </c>
      <c r="AH49" s="131">
        <f>SUM(AH50:AH52)</f>
        <v>0</v>
      </c>
      <c r="AI49" s="131">
        <f>SUM(AI50:AI52)</f>
        <v>0</v>
      </c>
      <c r="AJ49" s="132">
        <f t="shared" si="7"/>
        <v>0</v>
      </c>
      <c r="AK49" s="132">
        <f t="shared" si="38"/>
        <v>0</v>
      </c>
      <c r="AL49" s="205">
        <f t="shared" si="6"/>
        <v>0</v>
      </c>
      <c r="AN49"/>
      <c r="AO49" s="131"/>
      <c r="AP49" s="131"/>
      <c r="AQ49" s="131"/>
      <c r="AR49" s="131"/>
      <c r="AS49" s="131"/>
      <c r="AT49" s="131"/>
      <c r="AU49" s="215"/>
      <c r="AV49" s="217">
        <f>+AK49-AU49</f>
        <v>0</v>
      </c>
    </row>
    <row r="50" spans="3:48" s="59" customFormat="1" ht="19.5" customHeight="1" x14ac:dyDescent="0.25">
      <c r="C50" s="62" t="s">
        <v>394</v>
      </c>
      <c r="D50" s="63" t="s">
        <v>418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>
        <v>3600000</v>
      </c>
      <c r="P50" s="69"/>
      <c r="Q50" s="163">
        <f t="shared" si="22"/>
        <v>3600000</v>
      </c>
      <c r="R50" s="165" t="s">
        <v>394</v>
      </c>
      <c r="S50" s="165" t="s">
        <v>418</v>
      </c>
      <c r="T50" s="167"/>
      <c r="U50" s="182"/>
      <c r="V50" s="164" t="s">
        <v>394</v>
      </c>
      <c r="W50" s="63" t="s">
        <v>418</v>
      </c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5">
        <f t="shared" si="7"/>
        <v>0</v>
      </c>
      <c r="AK50" s="65">
        <f t="shared" si="38"/>
        <v>0</v>
      </c>
      <c r="AL50" s="205">
        <f t="shared" si="6"/>
        <v>0</v>
      </c>
      <c r="AN50"/>
      <c r="AO50" s="214"/>
      <c r="AP50" s="214"/>
      <c r="AQ50" s="214"/>
      <c r="AR50" s="214"/>
      <c r="AS50" s="214"/>
      <c r="AT50" s="214"/>
      <c r="AU50" s="214"/>
      <c r="AV50" s="214"/>
    </row>
    <row r="51" spans="3:48" s="59" customFormat="1" ht="21" customHeight="1" x14ac:dyDescent="0.25">
      <c r="C51" s="62" t="s">
        <v>396</v>
      </c>
      <c r="D51" s="63" t="s">
        <v>419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>
        <v>1886000</v>
      </c>
      <c r="P51" s="69"/>
      <c r="Q51" s="163">
        <f t="shared" si="22"/>
        <v>1886000</v>
      </c>
      <c r="R51" s="165" t="s">
        <v>396</v>
      </c>
      <c r="S51" s="165" t="s">
        <v>419</v>
      </c>
      <c r="T51" s="166"/>
      <c r="U51" s="181"/>
      <c r="V51" s="164" t="s">
        <v>396</v>
      </c>
      <c r="W51" s="63" t="s">
        <v>419</v>
      </c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5">
        <f t="shared" si="7"/>
        <v>0</v>
      </c>
      <c r="AK51" s="65">
        <f t="shared" si="38"/>
        <v>0</v>
      </c>
      <c r="AL51" s="205">
        <f t="shared" si="6"/>
        <v>0</v>
      </c>
      <c r="AN51"/>
      <c r="AO51" s="214"/>
      <c r="AP51" s="214"/>
      <c r="AQ51" s="214"/>
      <c r="AR51" s="214"/>
      <c r="AS51" s="214"/>
      <c r="AT51" s="214"/>
      <c r="AU51" s="214"/>
      <c r="AV51" s="214"/>
    </row>
    <row r="52" spans="3:48" s="59" customFormat="1" ht="17.25" customHeight="1" x14ac:dyDescent="0.25">
      <c r="C52" s="62" t="s">
        <v>398</v>
      </c>
      <c r="D52" s="63" t="s">
        <v>420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>
        <v>700000</v>
      </c>
      <c r="P52" s="69"/>
      <c r="Q52" s="163">
        <f t="shared" si="22"/>
        <v>700000</v>
      </c>
      <c r="R52" s="165" t="s">
        <v>398</v>
      </c>
      <c r="S52" s="165" t="s">
        <v>420</v>
      </c>
      <c r="T52" s="166"/>
      <c r="U52" s="181"/>
      <c r="V52" s="164" t="s">
        <v>398</v>
      </c>
      <c r="W52" s="63" t="s">
        <v>420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5">
        <f t="shared" si="7"/>
        <v>0</v>
      </c>
      <c r="AK52" s="65">
        <f t="shared" si="38"/>
        <v>0</v>
      </c>
      <c r="AL52" s="205">
        <f t="shared" si="6"/>
        <v>0</v>
      </c>
      <c r="AN52"/>
      <c r="AO52" s="214"/>
      <c r="AP52" s="214"/>
      <c r="AQ52" s="214"/>
      <c r="AR52" s="214"/>
      <c r="AS52" s="214"/>
      <c r="AT52" s="214"/>
      <c r="AU52" s="214"/>
      <c r="AV52" s="214"/>
    </row>
    <row r="53" spans="3:48" s="59" customFormat="1" ht="23.25" customHeight="1" x14ac:dyDescent="0.3">
      <c r="C53" s="66" t="s">
        <v>121</v>
      </c>
      <c r="D53" s="67" t="s">
        <v>421</v>
      </c>
      <c r="E53" s="68">
        <v>40500</v>
      </c>
      <c r="F53" s="68">
        <v>40500</v>
      </c>
      <c r="G53" s="68">
        <v>40500</v>
      </c>
      <c r="H53" s="68">
        <v>40500</v>
      </c>
      <c r="I53" s="68">
        <v>40500</v>
      </c>
      <c r="J53" s="68">
        <v>40500</v>
      </c>
      <c r="K53" s="68">
        <v>40500</v>
      </c>
      <c r="L53" s="68">
        <v>40500</v>
      </c>
      <c r="M53" s="68">
        <v>40500</v>
      </c>
      <c r="N53" s="68">
        <v>40500</v>
      </c>
      <c r="O53" s="68">
        <v>40500</v>
      </c>
      <c r="P53" s="68">
        <v>40500</v>
      </c>
      <c r="Q53" s="169">
        <f t="shared" si="22"/>
        <v>486000</v>
      </c>
      <c r="R53" s="175" t="s">
        <v>121</v>
      </c>
      <c r="S53" s="175" t="s">
        <v>421</v>
      </c>
      <c r="T53" s="176">
        <v>0</v>
      </c>
      <c r="U53" s="183">
        <f t="shared" ref="U53:U55" si="48">+Q53+T53</f>
        <v>486000</v>
      </c>
      <c r="V53" s="173" t="s">
        <v>121</v>
      </c>
      <c r="W53" s="130" t="s">
        <v>421</v>
      </c>
      <c r="X53" s="131"/>
      <c r="Y53" s="131"/>
      <c r="Z53" s="131"/>
      <c r="AA53" s="131"/>
      <c r="AB53" s="131"/>
      <c r="AC53" s="131">
        <v>0</v>
      </c>
      <c r="AD53" s="131">
        <v>0</v>
      </c>
      <c r="AE53" s="131"/>
      <c r="AF53" s="131"/>
      <c r="AG53" s="131"/>
      <c r="AH53" s="131"/>
      <c r="AI53" s="131"/>
      <c r="AJ53" s="132">
        <f t="shared" si="7"/>
        <v>0</v>
      </c>
      <c r="AK53" s="132">
        <f t="shared" si="38"/>
        <v>486000</v>
      </c>
      <c r="AL53" s="204">
        <f t="shared" si="6"/>
        <v>0</v>
      </c>
      <c r="AN53"/>
      <c r="AO53" s="131">
        <f t="shared" ref="AO53:AO55" si="49">IFERROR(AVERAGE(X53:AD53),0)</f>
        <v>0</v>
      </c>
      <c r="AP53" s="131">
        <f t="shared" ref="AP53:AP55" si="50">+AO53*$AO$6</f>
        <v>0</v>
      </c>
      <c r="AQ53" s="131"/>
      <c r="AR53" s="131"/>
      <c r="AS53" s="131"/>
      <c r="AT53" s="131"/>
      <c r="AU53" s="215"/>
      <c r="AV53" s="217">
        <f t="shared" ref="AV53:AV55" si="51">+AK53-AU53</f>
        <v>486000</v>
      </c>
    </row>
    <row r="54" spans="3:48" s="59" customFormat="1" ht="23.25" customHeight="1" x14ac:dyDescent="0.3">
      <c r="C54" s="66" t="s">
        <v>124</v>
      </c>
      <c r="D54" s="67" t="s">
        <v>422</v>
      </c>
      <c r="E54" s="68">
        <v>10000</v>
      </c>
      <c r="F54" s="68">
        <v>10000</v>
      </c>
      <c r="G54" s="68">
        <v>10000</v>
      </c>
      <c r="H54" s="68"/>
      <c r="I54" s="68"/>
      <c r="J54" s="68"/>
      <c r="K54" s="68"/>
      <c r="L54" s="68"/>
      <c r="M54" s="68"/>
      <c r="N54" s="68"/>
      <c r="O54" s="68"/>
      <c r="P54" s="68"/>
      <c r="Q54" s="169">
        <f t="shared" si="22"/>
        <v>30000</v>
      </c>
      <c r="R54" s="175" t="s">
        <v>124</v>
      </c>
      <c r="S54" s="175" t="s">
        <v>422</v>
      </c>
      <c r="T54" s="176">
        <v>0</v>
      </c>
      <c r="U54" s="183">
        <f t="shared" si="48"/>
        <v>30000</v>
      </c>
      <c r="V54" s="173" t="s">
        <v>124</v>
      </c>
      <c r="W54" s="130" t="s">
        <v>422</v>
      </c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>
        <f t="shared" si="7"/>
        <v>0</v>
      </c>
      <c r="AK54" s="200">
        <f t="shared" si="38"/>
        <v>30000</v>
      </c>
      <c r="AL54" s="204">
        <f t="shared" si="6"/>
        <v>0</v>
      </c>
      <c r="AN54"/>
      <c r="AO54" s="131">
        <f t="shared" si="49"/>
        <v>0</v>
      </c>
      <c r="AP54" s="131">
        <f t="shared" si="50"/>
        <v>0</v>
      </c>
      <c r="AQ54" s="131"/>
      <c r="AR54" s="131"/>
      <c r="AS54" s="131"/>
      <c r="AT54" s="131"/>
      <c r="AU54" s="215"/>
      <c r="AV54" s="217">
        <f t="shared" si="51"/>
        <v>30000</v>
      </c>
    </row>
    <row r="55" spans="3:48" s="76" customFormat="1" ht="33" customHeight="1" x14ac:dyDescent="0.3">
      <c r="C55" s="73" t="s">
        <v>129</v>
      </c>
      <c r="D55" s="74" t="s">
        <v>130</v>
      </c>
      <c r="E55" s="75">
        <f t="shared" ref="E55:P55" si="52">SUM(E56:E58)</f>
        <v>415967.66666666669</v>
      </c>
      <c r="F55" s="75">
        <f t="shared" si="52"/>
        <v>415967.66666666669</v>
      </c>
      <c r="G55" s="75">
        <f t="shared" si="52"/>
        <v>415967.66666666669</v>
      </c>
      <c r="H55" s="75">
        <f t="shared" si="52"/>
        <v>415967.66666666669</v>
      </c>
      <c r="I55" s="75">
        <f t="shared" si="52"/>
        <v>415967.66666666669</v>
      </c>
      <c r="J55" s="75">
        <f t="shared" si="52"/>
        <v>415967.66666666669</v>
      </c>
      <c r="K55" s="75">
        <f t="shared" si="52"/>
        <v>415967.66666666669</v>
      </c>
      <c r="L55" s="75">
        <f t="shared" si="52"/>
        <v>415967.66666666669</v>
      </c>
      <c r="M55" s="75">
        <f t="shared" si="52"/>
        <v>415967.66666666669</v>
      </c>
      <c r="N55" s="75">
        <f t="shared" si="52"/>
        <v>415967.66666666669</v>
      </c>
      <c r="O55" s="75">
        <f t="shared" si="52"/>
        <v>415967.66666666669</v>
      </c>
      <c r="P55" s="75">
        <f t="shared" si="52"/>
        <v>415967.66666666669</v>
      </c>
      <c r="Q55" s="169">
        <f t="shared" si="22"/>
        <v>4991612</v>
      </c>
      <c r="R55" s="175" t="s">
        <v>129</v>
      </c>
      <c r="S55" s="175" t="s">
        <v>130</v>
      </c>
      <c r="T55" s="176">
        <v>2211228.09</v>
      </c>
      <c r="U55" s="183">
        <f t="shared" si="48"/>
        <v>7202840.0899999999</v>
      </c>
      <c r="V55" s="173" t="s">
        <v>129</v>
      </c>
      <c r="W55" s="130" t="s">
        <v>130</v>
      </c>
      <c r="X55" s="131">
        <f>SUM(X56:X58)</f>
        <v>314996.21000000002</v>
      </c>
      <c r="Y55" s="131">
        <f>SUM(Y56:Y58)</f>
        <v>368575.58</v>
      </c>
      <c r="Z55" s="131">
        <f>SUM(Z56:Z58)</f>
        <v>371902.43999999994</v>
      </c>
      <c r="AA55" s="131">
        <f>SUM(AA56:AA58)</f>
        <v>362556.4</v>
      </c>
      <c r="AB55" s="131">
        <v>338181.91</v>
      </c>
      <c r="AC55" s="155">
        <v>304869.31</v>
      </c>
      <c r="AD55" s="131">
        <v>329329.81</v>
      </c>
      <c r="AE55" s="131">
        <v>341991.12</v>
      </c>
      <c r="AF55" s="131">
        <v>342535.63</v>
      </c>
      <c r="AG55" s="131">
        <f>SUM(AG56:AG58)</f>
        <v>0</v>
      </c>
      <c r="AH55" s="131">
        <f>SUM(AH56:AH58)</f>
        <v>0</v>
      </c>
      <c r="AI55" s="131">
        <f>SUM(AI56:AI58)</f>
        <v>0</v>
      </c>
      <c r="AJ55" s="132">
        <f t="shared" si="7"/>
        <v>3074938.4099999997</v>
      </c>
      <c r="AK55" s="132">
        <f t="shared" si="38"/>
        <v>4127901.68</v>
      </c>
      <c r="AL55" s="204">
        <f t="shared" si="6"/>
        <v>0.4269063829792728</v>
      </c>
      <c r="AN55"/>
      <c r="AO55" s="131">
        <f t="shared" si="49"/>
        <v>341487.37999999995</v>
      </c>
      <c r="AP55" s="131">
        <f t="shared" si="50"/>
        <v>1707436.8999999997</v>
      </c>
      <c r="AQ55" s="131"/>
      <c r="AR55" s="131"/>
      <c r="AS55" s="131"/>
      <c r="AT55" s="131"/>
      <c r="AU55" s="215"/>
      <c r="AV55" s="217">
        <f t="shared" si="51"/>
        <v>4127901.68</v>
      </c>
    </row>
    <row r="56" spans="3:48" s="59" customFormat="1" ht="23.25" customHeight="1" x14ac:dyDescent="0.25">
      <c r="C56" s="62" t="s">
        <v>394</v>
      </c>
      <c r="D56" s="63" t="s">
        <v>395</v>
      </c>
      <c r="E56" s="77">
        <f t="shared" ref="E56:P56" si="53">3460985/12</f>
        <v>288415.41666666669</v>
      </c>
      <c r="F56" s="77">
        <f t="shared" si="53"/>
        <v>288415.41666666669</v>
      </c>
      <c r="G56" s="77">
        <f t="shared" si="53"/>
        <v>288415.41666666669</v>
      </c>
      <c r="H56" s="77">
        <f t="shared" si="53"/>
        <v>288415.41666666669</v>
      </c>
      <c r="I56" s="77">
        <f t="shared" si="53"/>
        <v>288415.41666666669</v>
      </c>
      <c r="J56" s="77">
        <f t="shared" si="53"/>
        <v>288415.41666666669</v>
      </c>
      <c r="K56" s="77">
        <f t="shared" si="53"/>
        <v>288415.41666666669</v>
      </c>
      <c r="L56" s="77">
        <f t="shared" si="53"/>
        <v>288415.41666666669</v>
      </c>
      <c r="M56" s="77">
        <f t="shared" si="53"/>
        <v>288415.41666666669</v>
      </c>
      <c r="N56" s="77">
        <f t="shared" si="53"/>
        <v>288415.41666666669</v>
      </c>
      <c r="O56" s="77">
        <f t="shared" si="53"/>
        <v>288415.41666666669</v>
      </c>
      <c r="P56" s="77">
        <f t="shared" si="53"/>
        <v>288415.41666666669</v>
      </c>
      <c r="Q56" s="163">
        <f t="shared" si="22"/>
        <v>3460984.9999999995</v>
      </c>
      <c r="R56" s="165" t="s">
        <v>394</v>
      </c>
      <c r="S56" s="165" t="s">
        <v>395</v>
      </c>
      <c r="T56" s="203"/>
      <c r="U56" s="181"/>
      <c r="V56" s="164" t="s">
        <v>394</v>
      </c>
      <c r="W56" s="63" t="s">
        <v>395</v>
      </c>
      <c r="X56" s="86">
        <v>201132.7</v>
      </c>
      <c r="Y56" s="77">
        <f>259207.15-182</f>
        <v>259025.15</v>
      </c>
      <c r="Z56" s="77">
        <v>223228.90999999997</v>
      </c>
      <c r="AA56" s="77">
        <v>247538.92</v>
      </c>
      <c r="AB56" s="77">
        <f>+(AB10+AB14+AB18)*$AB$7</f>
        <v>128193.10809700002</v>
      </c>
      <c r="AC56" s="77">
        <f>+(AC10+AC14+AC18)*AB$7</f>
        <v>108742.875</v>
      </c>
      <c r="AD56" s="77"/>
      <c r="AE56" s="77"/>
      <c r="AF56" s="77"/>
      <c r="AG56" s="77"/>
      <c r="AH56" s="77"/>
      <c r="AI56" s="77"/>
      <c r="AJ56" s="65">
        <f t="shared" si="7"/>
        <v>1167861.663097</v>
      </c>
      <c r="AK56" s="65">
        <f t="shared" si="38"/>
        <v>-1167861.663097</v>
      </c>
      <c r="AL56" s="205">
        <f t="shared" si="6"/>
        <v>0</v>
      </c>
      <c r="AN56"/>
      <c r="AO56" s="214"/>
      <c r="AP56" s="214"/>
      <c r="AQ56" s="214"/>
      <c r="AR56" s="214"/>
      <c r="AS56" s="214"/>
      <c r="AT56" s="214"/>
      <c r="AU56" s="214"/>
      <c r="AV56" s="214"/>
    </row>
    <row r="57" spans="3:48" s="59" customFormat="1" ht="33" customHeight="1" x14ac:dyDescent="0.25">
      <c r="C57" s="62" t="s">
        <v>396</v>
      </c>
      <c r="D57" s="63" t="s">
        <v>397</v>
      </c>
      <c r="E57" s="77">
        <v>86820.5</v>
      </c>
      <c r="F57" s="77">
        <v>86820.5</v>
      </c>
      <c r="G57" s="77">
        <v>86820.5</v>
      </c>
      <c r="H57" s="77">
        <v>86820.5</v>
      </c>
      <c r="I57" s="77">
        <v>86820.5</v>
      </c>
      <c r="J57" s="77">
        <v>86820.5</v>
      </c>
      <c r="K57" s="77">
        <v>86820.5</v>
      </c>
      <c r="L57" s="77">
        <v>86820.5</v>
      </c>
      <c r="M57" s="77">
        <v>86820.5</v>
      </c>
      <c r="N57" s="77">
        <v>86820.5</v>
      </c>
      <c r="O57" s="77">
        <v>86820.5</v>
      </c>
      <c r="P57" s="77">
        <v>86820.5</v>
      </c>
      <c r="Q57" s="163">
        <f t="shared" si="22"/>
        <v>1041846</v>
      </c>
      <c r="R57" s="165" t="s">
        <v>396</v>
      </c>
      <c r="S57" s="165" t="s">
        <v>397</v>
      </c>
      <c r="T57" s="166"/>
      <c r="U57" s="181"/>
      <c r="V57" s="164" t="s">
        <v>396</v>
      </c>
      <c r="W57" s="63" t="s">
        <v>397</v>
      </c>
      <c r="X57" s="77">
        <v>85741.73</v>
      </c>
      <c r="Y57" s="77">
        <v>80365.149999999994</v>
      </c>
      <c r="Z57" s="77">
        <v>94084.299999999988</v>
      </c>
      <c r="AA57" s="77">
        <v>86506.240000000005</v>
      </c>
      <c r="AB57" s="77">
        <f>+(AB11+AB15+AB19)*$AB$7</f>
        <v>74000.693096999996</v>
      </c>
      <c r="AC57" s="77">
        <f>(AC11+AC19)*$AB$7</f>
        <v>66539.650000000009</v>
      </c>
      <c r="AD57" s="77"/>
      <c r="AE57" s="77"/>
      <c r="AF57" s="77"/>
      <c r="AG57" s="77"/>
      <c r="AH57" s="77"/>
      <c r="AI57" s="77"/>
      <c r="AJ57" s="65">
        <f t="shared" si="7"/>
        <v>487237.76309700002</v>
      </c>
      <c r="AK57" s="65">
        <f t="shared" si="38"/>
        <v>-487237.76309700002</v>
      </c>
      <c r="AL57" s="205">
        <f t="shared" si="6"/>
        <v>0</v>
      </c>
      <c r="AN57"/>
      <c r="AO57" s="214"/>
      <c r="AP57" s="214"/>
      <c r="AQ57" s="214"/>
      <c r="AR57" s="214"/>
      <c r="AS57" s="214"/>
      <c r="AT57" s="214"/>
      <c r="AU57" s="214"/>
      <c r="AV57" s="214"/>
    </row>
    <row r="58" spans="3:48" s="59" customFormat="1" ht="40.5" customHeight="1" x14ac:dyDescent="0.25">
      <c r="C58" s="62" t="s">
        <v>398</v>
      </c>
      <c r="D58" s="63" t="s">
        <v>399</v>
      </c>
      <c r="E58" s="77">
        <f t="shared" ref="E58:P58" si="54">488781/12</f>
        <v>40731.75</v>
      </c>
      <c r="F58" s="77">
        <f t="shared" si="54"/>
        <v>40731.75</v>
      </c>
      <c r="G58" s="77">
        <f t="shared" si="54"/>
        <v>40731.75</v>
      </c>
      <c r="H58" s="77">
        <f t="shared" si="54"/>
        <v>40731.75</v>
      </c>
      <c r="I58" s="77">
        <f t="shared" si="54"/>
        <v>40731.75</v>
      </c>
      <c r="J58" s="77">
        <f t="shared" si="54"/>
        <v>40731.75</v>
      </c>
      <c r="K58" s="77">
        <f t="shared" si="54"/>
        <v>40731.75</v>
      </c>
      <c r="L58" s="77">
        <f t="shared" si="54"/>
        <v>40731.75</v>
      </c>
      <c r="M58" s="77">
        <f t="shared" si="54"/>
        <v>40731.75</v>
      </c>
      <c r="N58" s="77">
        <f t="shared" si="54"/>
        <v>40731.75</v>
      </c>
      <c r="O58" s="77">
        <f t="shared" si="54"/>
        <v>40731.75</v>
      </c>
      <c r="P58" s="77">
        <f t="shared" si="54"/>
        <v>40731.75</v>
      </c>
      <c r="Q58" s="163">
        <f t="shared" si="22"/>
        <v>488781</v>
      </c>
      <c r="R58" s="165" t="s">
        <v>398</v>
      </c>
      <c r="S58" s="165" t="s">
        <v>399</v>
      </c>
      <c r="T58" s="166"/>
      <c r="U58" s="181"/>
      <c r="V58" s="164" t="s">
        <v>398</v>
      </c>
      <c r="W58" s="63" t="s">
        <v>399</v>
      </c>
      <c r="X58" s="77">
        <v>28121.780000000002</v>
      </c>
      <c r="Y58" s="77">
        <v>29185.280000000002</v>
      </c>
      <c r="Z58" s="77">
        <v>54589.23</v>
      </c>
      <c r="AA58" s="77">
        <v>28511.239999999998</v>
      </c>
      <c r="AB58" s="77">
        <f>+(AB12+AB16+AB20)*$AB$7</f>
        <v>21234.550000000003</v>
      </c>
      <c r="AC58" s="77">
        <f>+(AC12+AC20)*AB$7</f>
        <v>17264.150000000001</v>
      </c>
      <c r="AD58" s="77"/>
      <c r="AE58" s="77"/>
      <c r="AF58" s="77"/>
      <c r="AG58" s="77"/>
      <c r="AH58" s="77"/>
      <c r="AI58" s="77"/>
      <c r="AJ58" s="65">
        <f t="shared" si="7"/>
        <v>178906.23</v>
      </c>
      <c r="AK58" s="65">
        <f t="shared" si="38"/>
        <v>-178906.23</v>
      </c>
      <c r="AL58" s="205">
        <f t="shared" si="6"/>
        <v>0</v>
      </c>
      <c r="AN58"/>
      <c r="AO58" s="214"/>
      <c r="AP58" s="214"/>
      <c r="AQ58" s="214"/>
      <c r="AR58" s="214"/>
      <c r="AS58" s="214"/>
      <c r="AT58" s="214"/>
      <c r="AU58" s="214"/>
      <c r="AV58" s="214"/>
    </row>
    <row r="59" spans="3:48" s="76" customFormat="1" ht="39" customHeight="1" x14ac:dyDescent="0.3">
      <c r="C59" s="73" t="s">
        <v>133</v>
      </c>
      <c r="D59" s="74" t="s">
        <v>132</v>
      </c>
      <c r="E59" s="75">
        <f t="shared" ref="E59:P59" si="55">SUM(E60:E62)</f>
        <v>411725.41666666669</v>
      </c>
      <c r="F59" s="75">
        <f t="shared" si="55"/>
        <v>411725.41666666669</v>
      </c>
      <c r="G59" s="75">
        <f t="shared" si="55"/>
        <v>411725.41666666669</v>
      </c>
      <c r="H59" s="75">
        <f t="shared" si="55"/>
        <v>411725.41666666669</v>
      </c>
      <c r="I59" s="75">
        <f t="shared" si="55"/>
        <v>411725.41666666669</v>
      </c>
      <c r="J59" s="75">
        <f t="shared" si="55"/>
        <v>411725.41666666669</v>
      </c>
      <c r="K59" s="75">
        <f t="shared" si="55"/>
        <v>411725.41666666669</v>
      </c>
      <c r="L59" s="75">
        <f t="shared" si="55"/>
        <v>411725.41666666669</v>
      </c>
      <c r="M59" s="75">
        <f t="shared" si="55"/>
        <v>411725.41666666669</v>
      </c>
      <c r="N59" s="75">
        <f t="shared" si="55"/>
        <v>411725.41666666669</v>
      </c>
      <c r="O59" s="75">
        <f t="shared" si="55"/>
        <v>411725.41666666669</v>
      </c>
      <c r="P59" s="75">
        <f t="shared" si="55"/>
        <v>411725.41666666669</v>
      </c>
      <c r="Q59" s="169">
        <f t="shared" si="22"/>
        <v>4940705</v>
      </c>
      <c r="R59" s="175" t="s">
        <v>133</v>
      </c>
      <c r="S59" s="175" t="s">
        <v>132</v>
      </c>
      <c r="T59" s="176">
        <v>2210965.1</v>
      </c>
      <c r="U59" s="183">
        <f t="shared" ref="U59" si="56">+Q59+T59</f>
        <v>7151670.0999999996</v>
      </c>
      <c r="V59" s="173" t="s">
        <v>133</v>
      </c>
      <c r="W59" s="130" t="s">
        <v>132</v>
      </c>
      <c r="X59" s="131">
        <f>SUM(X60:X62)</f>
        <v>328994.36</v>
      </c>
      <c r="Y59" s="131">
        <f>SUM(Y60:Y62)</f>
        <v>381774.56999999995</v>
      </c>
      <c r="Z59" s="131">
        <f>SUM(Z60:Z62)</f>
        <v>387971.69</v>
      </c>
      <c r="AA59" s="131">
        <f>SUM(AA60:AA62)</f>
        <v>378244.69</v>
      </c>
      <c r="AB59" s="131">
        <v>351693.06</v>
      </c>
      <c r="AC59" s="155">
        <v>317965.69</v>
      </c>
      <c r="AD59" s="131">
        <v>344235.69</v>
      </c>
      <c r="AE59" s="131">
        <v>360778.69</v>
      </c>
      <c r="AF59" s="131">
        <v>351751.75</v>
      </c>
      <c r="AG59" s="131">
        <f>SUM(AG60:AG62)</f>
        <v>0</v>
      </c>
      <c r="AH59" s="131">
        <f>SUM(AH60:AH62)</f>
        <v>0</v>
      </c>
      <c r="AI59" s="131">
        <f>SUM(AI60:AI62)</f>
        <v>0</v>
      </c>
      <c r="AJ59" s="132">
        <f t="shared" si="7"/>
        <v>3203410.19</v>
      </c>
      <c r="AK59" s="132">
        <f t="shared" si="38"/>
        <v>3948259.9099999997</v>
      </c>
      <c r="AL59" s="204">
        <f t="shared" si="6"/>
        <v>0.44792477074690568</v>
      </c>
      <c r="AN59"/>
      <c r="AO59" s="131">
        <f>IFERROR(AVERAGE(X59:AD59),0)</f>
        <v>355839.96428571426</v>
      </c>
      <c r="AP59" s="131">
        <f>+AO59*$AO$6</f>
        <v>1779199.8214285714</v>
      </c>
      <c r="AQ59" s="131"/>
      <c r="AR59" s="131"/>
      <c r="AS59" s="131"/>
      <c r="AT59" s="131"/>
      <c r="AU59" s="215"/>
      <c r="AV59" s="217">
        <f>+AK59-AU59</f>
        <v>3948259.9099999997</v>
      </c>
    </row>
    <row r="60" spans="3:48" s="59" customFormat="1" ht="29.25" customHeight="1" x14ac:dyDescent="0.25">
      <c r="C60" s="62" t="s">
        <v>394</v>
      </c>
      <c r="D60" s="63" t="s">
        <v>395</v>
      </c>
      <c r="E60" s="77">
        <f t="shared" ref="E60:P60" si="57">3448502/12</f>
        <v>287375.16666666669</v>
      </c>
      <c r="F60" s="77">
        <f t="shared" si="57"/>
        <v>287375.16666666669</v>
      </c>
      <c r="G60" s="77">
        <f t="shared" si="57"/>
        <v>287375.16666666669</v>
      </c>
      <c r="H60" s="77">
        <f t="shared" si="57"/>
        <v>287375.16666666669</v>
      </c>
      <c r="I60" s="77">
        <f t="shared" si="57"/>
        <v>287375.16666666669</v>
      </c>
      <c r="J60" s="77">
        <f t="shared" si="57"/>
        <v>287375.16666666669</v>
      </c>
      <c r="K60" s="77">
        <f t="shared" si="57"/>
        <v>287375.16666666669</v>
      </c>
      <c r="L60" s="77">
        <f t="shared" si="57"/>
        <v>287375.16666666669</v>
      </c>
      <c r="M60" s="77">
        <f t="shared" si="57"/>
        <v>287375.16666666669</v>
      </c>
      <c r="N60" s="77">
        <f t="shared" si="57"/>
        <v>287375.16666666669</v>
      </c>
      <c r="O60" s="77">
        <f t="shared" si="57"/>
        <v>287375.16666666669</v>
      </c>
      <c r="P60" s="77">
        <f t="shared" si="57"/>
        <v>287375.16666666669</v>
      </c>
      <c r="Q60" s="163">
        <f t="shared" ref="Q60:Q91" si="58">SUM(E60:P60)</f>
        <v>3448501.9999999995</v>
      </c>
      <c r="R60" s="165" t="s">
        <v>394</v>
      </c>
      <c r="S60" s="165" t="s">
        <v>395</v>
      </c>
      <c r="T60" s="166"/>
      <c r="U60" s="181"/>
      <c r="V60" s="164" t="s">
        <v>394</v>
      </c>
      <c r="W60" s="63" t="s">
        <v>395</v>
      </c>
      <c r="X60" s="86">
        <v>212637.19</v>
      </c>
      <c r="Y60" s="77">
        <v>271688.17</v>
      </c>
      <c r="Z60" s="77">
        <v>236019.86</v>
      </c>
      <c r="AA60" s="77">
        <v>251339.69</v>
      </c>
      <c r="AB60" s="77">
        <f>+(AB10+AB14+$AB$18)*AC7</f>
        <v>128373.91643</v>
      </c>
      <c r="AC60" s="77">
        <f>+(AC10+AC14+AC18)*$AC$7</f>
        <v>108896.24999999999</v>
      </c>
      <c r="AD60" s="77"/>
      <c r="AE60" s="77"/>
      <c r="AF60" s="77"/>
      <c r="AG60" s="77"/>
      <c r="AH60" s="77"/>
      <c r="AI60" s="77"/>
      <c r="AJ60" s="65">
        <f t="shared" si="7"/>
        <v>1208955.0764299999</v>
      </c>
      <c r="AK60" s="65">
        <f t="shared" si="38"/>
        <v>-1208955.0764299999</v>
      </c>
      <c r="AL60" s="205">
        <f t="shared" si="6"/>
        <v>0</v>
      </c>
      <c r="AN60"/>
      <c r="AO60" s="214"/>
      <c r="AP60" s="214"/>
      <c r="AQ60" s="214"/>
      <c r="AR60" s="214"/>
      <c r="AS60" s="214"/>
      <c r="AT60" s="214"/>
      <c r="AU60" s="214"/>
      <c r="AV60" s="214"/>
    </row>
    <row r="61" spans="3:48" s="59" customFormat="1" ht="30.75" customHeight="1" x14ac:dyDescent="0.25">
      <c r="C61" s="62" t="s">
        <v>396</v>
      </c>
      <c r="D61" s="63" t="s">
        <v>397</v>
      </c>
      <c r="E61" s="77">
        <f t="shared" ref="E61:P61" si="59">1071727/12</f>
        <v>89310.583333333328</v>
      </c>
      <c r="F61" s="77">
        <f t="shared" si="59"/>
        <v>89310.583333333328</v>
      </c>
      <c r="G61" s="77">
        <f t="shared" si="59"/>
        <v>89310.583333333328</v>
      </c>
      <c r="H61" s="77">
        <f t="shared" si="59"/>
        <v>89310.583333333328</v>
      </c>
      <c r="I61" s="77">
        <f t="shared" si="59"/>
        <v>89310.583333333328</v>
      </c>
      <c r="J61" s="77">
        <f t="shared" si="59"/>
        <v>89310.583333333328</v>
      </c>
      <c r="K61" s="77">
        <f t="shared" si="59"/>
        <v>89310.583333333328</v>
      </c>
      <c r="L61" s="77">
        <f t="shared" si="59"/>
        <v>89310.583333333328</v>
      </c>
      <c r="M61" s="77">
        <f t="shared" si="59"/>
        <v>89310.583333333328</v>
      </c>
      <c r="N61" s="77">
        <f t="shared" si="59"/>
        <v>89310.583333333328</v>
      </c>
      <c r="O61" s="77">
        <f t="shared" si="59"/>
        <v>89310.583333333328</v>
      </c>
      <c r="P61" s="77">
        <f t="shared" si="59"/>
        <v>89310.583333333328</v>
      </c>
      <c r="Q61" s="163">
        <f t="shared" si="58"/>
        <v>1071727.0000000002</v>
      </c>
      <c r="R61" s="165" t="s">
        <v>396</v>
      </c>
      <c r="S61" s="165" t="s">
        <v>397</v>
      </c>
      <c r="T61" s="166"/>
      <c r="U61" s="181"/>
      <c r="V61" s="164" t="s">
        <v>396</v>
      </c>
      <c r="W61" s="63" t="s">
        <v>397</v>
      </c>
      <c r="X61" s="77">
        <v>85862.67</v>
      </c>
      <c r="Y61" s="77">
        <v>80479.399999999994</v>
      </c>
      <c r="Z61" s="77">
        <v>94217</v>
      </c>
      <c r="AA61" s="77">
        <v>94965</v>
      </c>
      <c r="AB61" s="77">
        <f>+(AB11+AB19)*$AC$7</f>
        <v>74105.066429999992</v>
      </c>
      <c r="AC61" s="77">
        <f>+(AC11+AC15+AC19)*$AC$7</f>
        <v>66633.5</v>
      </c>
      <c r="AD61" s="77"/>
      <c r="AE61" s="77"/>
      <c r="AF61" s="77"/>
      <c r="AG61" s="77"/>
      <c r="AH61" s="77"/>
      <c r="AI61" s="77"/>
      <c r="AJ61" s="65">
        <f t="shared" si="7"/>
        <v>496262.63643000001</v>
      </c>
      <c r="AK61" s="65">
        <f t="shared" si="38"/>
        <v>-496262.63643000001</v>
      </c>
      <c r="AL61" s="205">
        <f t="shared" si="6"/>
        <v>0</v>
      </c>
      <c r="AN61"/>
      <c r="AO61" s="214"/>
      <c r="AP61" s="214"/>
      <c r="AQ61" s="214"/>
      <c r="AR61" s="214"/>
      <c r="AS61" s="214"/>
      <c r="AT61" s="214"/>
      <c r="AU61" s="214"/>
      <c r="AV61" s="214"/>
    </row>
    <row r="62" spans="3:48" s="59" customFormat="1" ht="40.5" customHeight="1" x14ac:dyDescent="0.25">
      <c r="C62" s="62" t="s">
        <v>398</v>
      </c>
      <c r="D62" s="63" t="s">
        <v>399</v>
      </c>
      <c r="E62" s="77">
        <f t="shared" ref="E62:P62" si="60">420476/12</f>
        <v>35039.666666666664</v>
      </c>
      <c r="F62" s="77">
        <f t="shared" si="60"/>
        <v>35039.666666666664</v>
      </c>
      <c r="G62" s="77">
        <f t="shared" si="60"/>
        <v>35039.666666666664</v>
      </c>
      <c r="H62" s="77">
        <f t="shared" si="60"/>
        <v>35039.666666666664</v>
      </c>
      <c r="I62" s="77">
        <f t="shared" si="60"/>
        <v>35039.666666666664</v>
      </c>
      <c r="J62" s="77">
        <f t="shared" si="60"/>
        <v>35039.666666666664</v>
      </c>
      <c r="K62" s="77">
        <f t="shared" si="60"/>
        <v>35039.666666666664</v>
      </c>
      <c r="L62" s="77">
        <f t="shared" si="60"/>
        <v>35039.666666666664</v>
      </c>
      <c r="M62" s="77">
        <f t="shared" si="60"/>
        <v>35039.666666666664</v>
      </c>
      <c r="N62" s="77">
        <f t="shared" si="60"/>
        <v>35039.666666666664</v>
      </c>
      <c r="O62" s="77">
        <f t="shared" si="60"/>
        <v>35039.666666666664</v>
      </c>
      <c r="P62" s="77">
        <f t="shared" si="60"/>
        <v>35039.666666666664</v>
      </c>
      <c r="Q62" s="163">
        <f t="shared" si="58"/>
        <v>420476.00000000006</v>
      </c>
      <c r="R62" s="165" t="s">
        <v>398</v>
      </c>
      <c r="S62" s="165" t="s">
        <v>399</v>
      </c>
      <c r="T62" s="166"/>
      <c r="U62" s="181"/>
      <c r="V62" s="164" t="s">
        <v>398</v>
      </c>
      <c r="W62" s="63" t="s">
        <v>399</v>
      </c>
      <c r="X62" s="77">
        <v>30494.5</v>
      </c>
      <c r="Y62" s="77">
        <v>29607</v>
      </c>
      <c r="Z62" s="77">
        <v>57734.83</v>
      </c>
      <c r="AA62" s="77">
        <v>31940</v>
      </c>
      <c r="AB62" s="77">
        <f>+(AB12+AB20)*$AC$7</f>
        <v>21264.499999999996</v>
      </c>
      <c r="AC62" s="77">
        <f>+(AC12+AC16+AC20)*$AC$7</f>
        <v>17288.5</v>
      </c>
      <c r="AD62" s="77"/>
      <c r="AE62" s="77"/>
      <c r="AF62" s="77"/>
      <c r="AG62" s="77"/>
      <c r="AH62" s="77"/>
      <c r="AI62" s="77"/>
      <c r="AJ62" s="65">
        <f t="shared" si="7"/>
        <v>188329.33000000002</v>
      </c>
      <c r="AK62" s="65">
        <f t="shared" si="38"/>
        <v>-188329.33000000002</v>
      </c>
      <c r="AL62" s="205">
        <f t="shared" si="6"/>
        <v>0</v>
      </c>
      <c r="AN62"/>
      <c r="AO62" s="214"/>
      <c r="AP62" s="214"/>
      <c r="AQ62" s="214"/>
      <c r="AR62" s="214"/>
      <c r="AS62" s="214"/>
      <c r="AT62" s="214"/>
      <c r="AU62" s="214"/>
      <c r="AV62" s="214"/>
    </row>
    <row r="63" spans="3:48" s="76" customFormat="1" ht="30" x14ac:dyDescent="0.3">
      <c r="C63" s="78" t="s">
        <v>136</v>
      </c>
      <c r="D63" s="79" t="s">
        <v>137</v>
      </c>
      <c r="E63" s="75">
        <f t="shared" ref="E63:P63" si="61">SUM(E64:E66)</f>
        <v>57973.499999999993</v>
      </c>
      <c r="F63" s="75">
        <f t="shared" si="61"/>
        <v>57973.499999999993</v>
      </c>
      <c r="G63" s="75">
        <f t="shared" si="61"/>
        <v>57973.499999999993</v>
      </c>
      <c r="H63" s="75">
        <f t="shared" si="61"/>
        <v>57973.499999999993</v>
      </c>
      <c r="I63" s="75">
        <f t="shared" si="61"/>
        <v>57973.499999999993</v>
      </c>
      <c r="J63" s="75">
        <f t="shared" si="61"/>
        <v>57973.499999999993</v>
      </c>
      <c r="K63" s="75">
        <f t="shared" si="61"/>
        <v>57973.499999999993</v>
      </c>
      <c r="L63" s="75">
        <f t="shared" si="61"/>
        <v>57973.499999999993</v>
      </c>
      <c r="M63" s="75">
        <f t="shared" si="61"/>
        <v>57973.499999999993</v>
      </c>
      <c r="N63" s="75">
        <f t="shared" si="61"/>
        <v>57973.499999999993</v>
      </c>
      <c r="O63" s="75">
        <f t="shared" si="61"/>
        <v>57973.499999999993</v>
      </c>
      <c r="P63" s="75">
        <f t="shared" si="61"/>
        <v>57973.499999999993</v>
      </c>
      <c r="Q63" s="169">
        <f t="shared" si="58"/>
        <v>695681.99999999988</v>
      </c>
      <c r="R63" s="175" t="s">
        <v>136</v>
      </c>
      <c r="S63" s="175" t="s">
        <v>137</v>
      </c>
      <c r="T63" s="176">
        <v>532656.55000000005</v>
      </c>
      <c r="U63" s="183">
        <f t="shared" ref="U63" si="62">+Q63+T63</f>
        <v>1228338.5499999998</v>
      </c>
      <c r="V63" s="173" t="s">
        <v>136</v>
      </c>
      <c r="W63" s="130" t="s">
        <v>137</v>
      </c>
      <c r="X63" s="131">
        <f>SUM(X64:X66)</f>
        <v>37615.65</v>
      </c>
      <c r="Y63" s="131">
        <f>SUM(Y64:Y66)</f>
        <v>42661.5</v>
      </c>
      <c r="Z63" s="131">
        <f>SUM(Z64:Z66)</f>
        <v>41735.370000000003</v>
      </c>
      <c r="AA63" s="131">
        <f>SUM(AA64:AA66)</f>
        <v>41310.83</v>
      </c>
      <c r="AB63" s="131">
        <v>38196.11</v>
      </c>
      <c r="AC63" s="155">
        <v>34128.9</v>
      </c>
      <c r="AD63" s="131">
        <v>36886.74</v>
      </c>
      <c r="AE63" s="131">
        <v>40136.559999999998</v>
      </c>
      <c r="AF63" s="131">
        <v>40257.25</v>
      </c>
      <c r="AG63" s="131">
        <f>SUM(AG64:AG66)</f>
        <v>0</v>
      </c>
      <c r="AH63" s="131">
        <f>SUM(AH64:AH66)</f>
        <v>0</v>
      </c>
      <c r="AI63" s="131">
        <f>SUM(AI64:AI66)</f>
        <v>0</v>
      </c>
      <c r="AJ63" s="132">
        <f t="shared" si="7"/>
        <v>352928.91</v>
      </c>
      <c r="AK63" s="132">
        <f t="shared" si="38"/>
        <v>875409.6399999999</v>
      </c>
      <c r="AL63" s="204">
        <f t="shared" si="6"/>
        <v>0.28732218002927618</v>
      </c>
      <c r="AN63"/>
      <c r="AO63" s="131">
        <f>IFERROR(AVERAGE(X63:AD63),0)</f>
        <v>38933.585714285713</v>
      </c>
      <c r="AP63" s="131">
        <f>+AO63*$AO$6</f>
        <v>194667.92857142858</v>
      </c>
      <c r="AQ63" s="131"/>
      <c r="AR63" s="131"/>
      <c r="AS63" s="131"/>
      <c r="AT63" s="131"/>
      <c r="AU63" s="215"/>
      <c r="AV63" s="217">
        <f>+AK63-AU63</f>
        <v>875409.6399999999</v>
      </c>
    </row>
    <row r="64" spans="3:48" s="59" customFormat="1" ht="22.5" customHeight="1" x14ac:dyDescent="0.25">
      <c r="C64" s="62" t="s">
        <v>394</v>
      </c>
      <c r="D64" s="63" t="s">
        <v>395</v>
      </c>
      <c r="E64" s="77">
        <f t="shared" ref="E64:P64" si="63">446516/12</f>
        <v>37209.666666666664</v>
      </c>
      <c r="F64" s="77">
        <f t="shared" si="63"/>
        <v>37209.666666666664</v>
      </c>
      <c r="G64" s="77">
        <f t="shared" si="63"/>
        <v>37209.666666666664</v>
      </c>
      <c r="H64" s="77">
        <f t="shared" si="63"/>
        <v>37209.666666666664</v>
      </c>
      <c r="I64" s="77">
        <f t="shared" si="63"/>
        <v>37209.666666666664</v>
      </c>
      <c r="J64" s="77">
        <f t="shared" si="63"/>
        <v>37209.666666666664</v>
      </c>
      <c r="K64" s="77">
        <f t="shared" si="63"/>
        <v>37209.666666666664</v>
      </c>
      <c r="L64" s="77">
        <f t="shared" si="63"/>
        <v>37209.666666666664</v>
      </c>
      <c r="M64" s="77">
        <f t="shared" si="63"/>
        <v>37209.666666666664</v>
      </c>
      <c r="N64" s="77">
        <f t="shared" si="63"/>
        <v>37209.666666666664</v>
      </c>
      <c r="O64" s="77">
        <f t="shared" si="63"/>
        <v>37209.666666666664</v>
      </c>
      <c r="P64" s="77">
        <f t="shared" si="63"/>
        <v>37209.666666666664</v>
      </c>
      <c r="Q64" s="163">
        <f t="shared" si="58"/>
        <v>446516.00000000006</v>
      </c>
      <c r="R64" s="165" t="s">
        <v>394</v>
      </c>
      <c r="S64" s="165" t="s">
        <v>395</v>
      </c>
      <c r="T64" s="166"/>
      <c r="U64" s="181"/>
      <c r="V64" s="164" t="s">
        <v>394</v>
      </c>
      <c r="W64" s="63" t="s">
        <v>395</v>
      </c>
      <c r="X64" s="86">
        <v>23964.2</v>
      </c>
      <c r="Y64" s="77">
        <v>28679.22</v>
      </c>
      <c r="Z64" s="77">
        <v>25852</v>
      </c>
      <c r="AA64" s="77">
        <v>23079.520000000004</v>
      </c>
      <c r="AB64" s="77">
        <f t="shared" ref="AB64:AC66" si="64">+(AB10+AB14+AB18)*$AD$7</f>
        <v>19888.91663</v>
      </c>
      <c r="AC64" s="77">
        <f t="shared" si="64"/>
        <v>16871.25</v>
      </c>
      <c r="AD64" s="77"/>
      <c r="AE64" s="77"/>
      <c r="AF64" s="77"/>
      <c r="AG64" s="77"/>
      <c r="AH64" s="77"/>
      <c r="AI64" s="77"/>
      <c r="AJ64" s="65">
        <f t="shared" si="7"/>
        <v>138335.10662999999</v>
      </c>
      <c r="AK64" s="65">
        <f t="shared" si="38"/>
        <v>-138335.10662999999</v>
      </c>
      <c r="AL64" s="205">
        <f t="shared" si="6"/>
        <v>0</v>
      </c>
      <c r="AN64"/>
      <c r="AO64" s="214"/>
      <c r="AP64" s="214"/>
      <c r="AQ64" s="214"/>
      <c r="AR64" s="214"/>
      <c r="AS64" s="214"/>
      <c r="AT64" s="214"/>
      <c r="AU64" s="214"/>
      <c r="AV64" s="214"/>
    </row>
    <row r="65" spans="3:48" s="59" customFormat="1" ht="21.75" customHeight="1" x14ac:dyDescent="0.25">
      <c r="C65" s="62" t="s">
        <v>396</v>
      </c>
      <c r="D65" s="63" t="s">
        <v>397</v>
      </c>
      <c r="E65" s="77">
        <f t="shared" ref="E65:P65" si="65">137537/12</f>
        <v>11461.416666666666</v>
      </c>
      <c r="F65" s="77">
        <f t="shared" si="65"/>
        <v>11461.416666666666</v>
      </c>
      <c r="G65" s="77">
        <f t="shared" si="65"/>
        <v>11461.416666666666</v>
      </c>
      <c r="H65" s="77">
        <f t="shared" si="65"/>
        <v>11461.416666666666</v>
      </c>
      <c r="I65" s="77">
        <f t="shared" si="65"/>
        <v>11461.416666666666</v>
      </c>
      <c r="J65" s="77">
        <f t="shared" si="65"/>
        <v>11461.416666666666</v>
      </c>
      <c r="K65" s="77">
        <f t="shared" si="65"/>
        <v>11461.416666666666</v>
      </c>
      <c r="L65" s="77">
        <f t="shared" si="65"/>
        <v>11461.416666666666</v>
      </c>
      <c r="M65" s="77">
        <f t="shared" si="65"/>
        <v>11461.416666666666</v>
      </c>
      <c r="N65" s="77">
        <f t="shared" si="65"/>
        <v>11461.416666666666</v>
      </c>
      <c r="O65" s="77">
        <f t="shared" si="65"/>
        <v>11461.416666666666</v>
      </c>
      <c r="P65" s="77">
        <f t="shared" si="65"/>
        <v>11461.416666666666</v>
      </c>
      <c r="Q65" s="163">
        <f t="shared" si="58"/>
        <v>137537.00000000003</v>
      </c>
      <c r="R65" s="165" t="s">
        <v>396</v>
      </c>
      <c r="S65" s="165" t="s">
        <v>397</v>
      </c>
      <c r="T65" s="166"/>
      <c r="U65" s="181"/>
      <c r="V65" s="164" t="s">
        <v>396</v>
      </c>
      <c r="W65" s="63" t="s">
        <v>397</v>
      </c>
      <c r="X65" s="77">
        <v>11068.03</v>
      </c>
      <c r="Y65" s="77">
        <v>11355.65</v>
      </c>
      <c r="Z65" s="77">
        <v>13843.41</v>
      </c>
      <c r="AA65" s="77">
        <v>15438.1</v>
      </c>
      <c r="AB65" s="77">
        <f t="shared" si="64"/>
        <v>11481.066629999999</v>
      </c>
      <c r="AC65" s="77">
        <f t="shared" si="64"/>
        <v>10323.5</v>
      </c>
      <c r="AD65" s="77"/>
      <c r="AE65" s="77"/>
      <c r="AF65" s="77"/>
      <c r="AG65" s="77"/>
      <c r="AH65" s="77"/>
      <c r="AI65" s="77"/>
      <c r="AJ65" s="65">
        <f t="shared" si="7"/>
        <v>73509.756629999989</v>
      </c>
      <c r="AK65" s="65">
        <f t="shared" si="38"/>
        <v>-73509.756629999989</v>
      </c>
      <c r="AL65" s="205">
        <f t="shared" si="6"/>
        <v>0</v>
      </c>
      <c r="AN65"/>
      <c r="AO65" s="214"/>
      <c r="AP65" s="214"/>
      <c r="AQ65" s="214"/>
      <c r="AR65" s="214"/>
      <c r="AS65" s="214"/>
      <c r="AT65" s="214"/>
      <c r="AU65" s="214"/>
      <c r="AV65" s="214"/>
    </row>
    <row r="66" spans="3:48" s="59" customFormat="1" ht="22.5" customHeight="1" x14ac:dyDescent="0.25">
      <c r="C66" s="62" t="s">
        <v>398</v>
      </c>
      <c r="D66" s="63" t="s">
        <v>399</v>
      </c>
      <c r="E66" s="77">
        <f t="shared" ref="E66:P66" si="66">111629/12</f>
        <v>9302.4166666666661</v>
      </c>
      <c r="F66" s="77">
        <f t="shared" si="66"/>
        <v>9302.4166666666661</v>
      </c>
      <c r="G66" s="77">
        <f t="shared" si="66"/>
        <v>9302.4166666666661</v>
      </c>
      <c r="H66" s="77">
        <f t="shared" si="66"/>
        <v>9302.4166666666661</v>
      </c>
      <c r="I66" s="77">
        <f t="shared" si="66"/>
        <v>9302.4166666666661</v>
      </c>
      <c r="J66" s="77">
        <f t="shared" si="66"/>
        <v>9302.4166666666661</v>
      </c>
      <c r="K66" s="77">
        <f t="shared" si="66"/>
        <v>9302.4166666666661</v>
      </c>
      <c r="L66" s="77">
        <f t="shared" si="66"/>
        <v>9302.4166666666661</v>
      </c>
      <c r="M66" s="77">
        <f t="shared" si="66"/>
        <v>9302.4166666666661</v>
      </c>
      <c r="N66" s="77">
        <f t="shared" si="66"/>
        <v>9302.4166666666661</v>
      </c>
      <c r="O66" s="77">
        <f t="shared" si="66"/>
        <v>9302.4166666666661</v>
      </c>
      <c r="P66" s="77">
        <f t="shared" si="66"/>
        <v>9302.4166666666661</v>
      </c>
      <c r="Q66" s="163">
        <f t="shared" si="58"/>
        <v>111629.00000000001</v>
      </c>
      <c r="R66" s="165" t="s">
        <v>398</v>
      </c>
      <c r="S66" s="165" t="s">
        <v>399</v>
      </c>
      <c r="T66" s="166"/>
      <c r="U66" s="181"/>
      <c r="V66" s="164" t="s">
        <v>398</v>
      </c>
      <c r="W66" s="63" t="s">
        <v>399</v>
      </c>
      <c r="X66" s="77">
        <v>2583.42</v>
      </c>
      <c r="Y66" s="77">
        <v>2626.63</v>
      </c>
      <c r="Z66" s="77">
        <v>2039.96</v>
      </c>
      <c r="AA66" s="77">
        <v>2793.21</v>
      </c>
      <c r="AB66" s="77">
        <f t="shared" si="64"/>
        <v>3294.5</v>
      </c>
      <c r="AC66" s="77">
        <f t="shared" si="64"/>
        <v>2678.5</v>
      </c>
      <c r="AD66" s="77"/>
      <c r="AE66" s="77"/>
      <c r="AF66" s="77"/>
      <c r="AG66" s="77"/>
      <c r="AH66" s="77"/>
      <c r="AI66" s="77"/>
      <c r="AJ66" s="65">
        <f t="shared" si="7"/>
        <v>16016.220000000001</v>
      </c>
      <c r="AK66" s="65">
        <f t="shared" si="38"/>
        <v>-16016.220000000001</v>
      </c>
      <c r="AL66" s="205">
        <f t="shared" si="6"/>
        <v>0</v>
      </c>
      <c r="AN66"/>
      <c r="AO66" s="214"/>
      <c r="AP66" s="214"/>
      <c r="AQ66" s="214"/>
      <c r="AR66" s="214"/>
      <c r="AS66" s="214"/>
      <c r="AT66" s="214"/>
      <c r="AU66" s="214"/>
      <c r="AV66" s="214"/>
    </row>
    <row r="67" spans="3:48" s="59" customFormat="1" ht="30" x14ac:dyDescent="0.3">
      <c r="C67" s="73" t="s">
        <v>142</v>
      </c>
      <c r="D67" s="67" t="s">
        <v>423</v>
      </c>
      <c r="E67" s="75">
        <v>2850</v>
      </c>
      <c r="F67" s="75">
        <v>2850</v>
      </c>
      <c r="G67" s="75">
        <v>2850</v>
      </c>
      <c r="H67" s="75">
        <v>2850</v>
      </c>
      <c r="I67" s="75">
        <v>2850</v>
      </c>
      <c r="J67" s="75">
        <v>2850</v>
      </c>
      <c r="K67" s="75">
        <v>2850</v>
      </c>
      <c r="L67" s="75">
        <v>2850</v>
      </c>
      <c r="M67" s="75">
        <v>2850</v>
      </c>
      <c r="N67" s="75">
        <v>2850</v>
      </c>
      <c r="O67" s="75">
        <v>2850</v>
      </c>
      <c r="P67" s="75">
        <v>2850</v>
      </c>
      <c r="Q67" s="169">
        <f t="shared" si="58"/>
        <v>34200</v>
      </c>
      <c r="R67" s="175" t="s">
        <v>142</v>
      </c>
      <c r="S67" s="175" t="s">
        <v>423</v>
      </c>
      <c r="T67" s="176">
        <v>0</v>
      </c>
      <c r="U67" s="183">
        <f t="shared" ref="U67:U73" si="67">+Q67+T67</f>
        <v>34200</v>
      </c>
      <c r="V67" s="173" t="s">
        <v>142</v>
      </c>
      <c r="W67" s="130" t="s">
        <v>423</v>
      </c>
      <c r="X67" s="131">
        <v>107.9</v>
      </c>
      <c r="Y67" s="131">
        <v>373.59</v>
      </c>
      <c r="Z67" s="131">
        <v>0</v>
      </c>
      <c r="AA67" s="131">
        <v>66.25</v>
      </c>
      <c r="AB67" s="131">
        <v>58.5</v>
      </c>
      <c r="AC67" s="131">
        <v>6.5</v>
      </c>
      <c r="AD67" s="131">
        <v>0</v>
      </c>
      <c r="AE67" s="131">
        <v>19.5</v>
      </c>
      <c r="AF67" s="131"/>
      <c r="AG67" s="131"/>
      <c r="AH67" s="131"/>
      <c r="AI67" s="131"/>
      <c r="AJ67" s="132">
        <f t="shared" si="7"/>
        <v>632.24</v>
      </c>
      <c r="AK67" s="132">
        <f t="shared" si="38"/>
        <v>33567.760000000002</v>
      </c>
      <c r="AL67" s="204">
        <f t="shared" si="6"/>
        <v>1.8486549707602339E-2</v>
      </c>
      <c r="AN67"/>
      <c r="AO67" s="131">
        <f t="shared" ref="AO67:AO73" si="68">IFERROR(AVERAGE(X67:AD67),0)</f>
        <v>87.534285714285716</v>
      </c>
      <c r="AP67" s="131">
        <f t="shared" ref="AP67:AP73" si="69">+AO67</f>
        <v>87.534285714285716</v>
      </c>
      <c r="AQ67" s="131"/>
      <c r="AR67" s="131"/>
      <c r="AS67" s="131"/>
      <c r="AT67" s="131"/>
      <c r="AU67" s="215"/>
      <c r="AV67" s="217">
        <f t="shared" ref="AV67:AV73" si="70">+AK67-AU67</f>
        <v>33567.760000000002</v>
      </c>
    </row>
    <row r="68" spans="3:48" s="59" customFormat="1" ht="27" customHeight="1" x14ac:dyDescent="0.3">
      <c r="C68" s="73" t="s">
        <v>146</v>
      </c>
      <c r="D68" s="74" t="s">
        <v>147</v>
      </c>
      <c r="E68" s="75">
        <v>90000</v>
      </c>
      <c r="F68" s="75">
        <v>90000</v>
      </c>
      <c r="G68" s="75">
        <v>90000</v>
      </c>
      <c r="H68" s="75">
        <v>90000</v>
      </c>
      <c r="I68" s="75">
        <v>90000</v>
      </c>
      <c r="J68" s="75">
        <v>90000</v>
      </c>
      <c r="K68" s="75">
        <v>90000</v>
      </c>
      <c r="L68" s="75">
        <v>90000</v>
      </c>
      <c r="M68" s="75">
        <v>90000</v>
      </c>
      <c r="N68" s="75">
        <v>90000</v>
      </c>
      <c r="O68" s="75">
        <v>90000</v>
      </c>
      <c r="P68" s="75">
        <v>90000</v>
      </c>
      <c r="Q68" s="169">
        <f t="shared" si="58"/>
        <v>1080000</v>
      </c>
      <c r="R68" s="175" t="s">
        <v>146</v>
      </c>
      <c r="S68" s="175" t="s">
        <v>147</v>
      </c>
      <c r="T68" s="176">
        <v>0</v>
      </c>
      <c r="U68" s="183">
        <f t="shared" si="67"/>
        <v>1080000</v>
      </c>
      <c r="V68" s="173" t="s">
        <v>146</v>
      </c>
      <c r="W68" s="130" t="s">
        <v>147</v>
      </c>
      <c r="X68" s="131">
        <v>51735.76</v>
      </c>
      <c r="Y68" s="131">
        <v>25830.15</v>
      </c>
      <c r="Z68" s="131">
        <v>114825.2</v>
      </c>
      <c r="AA68" s="131">
        <v>22535.5</v>
      </c>
      <c r="AB68" s="131">
        <v>100400.88</v>
      </c>
      <c r="AC68" s="131">
        <v>61645.09</v>
      </c>
      <c r="AD68" s="131">
        <v>67459.39</v>
      </c>
      <c r="AE68" s="131">
        <v>67566.87</v>
      </c>
      <c r="AF68" s="131">
        <v>65730.8</v>
      </c>
      <c r="AG68" s="131"/>
      <c r="AH68" s="131"/>
      <c r="AI68" s="131"/>
      <c r="AJ68" s="132">
        <f t="shared" si="7"/>
        <v>577729.64</v>
      </c>
      <c r="AK68" s="132">
        <f t="shared" si="38"/>
        <v>502270.36</v>
      </c>
      <c r="AL68" s="204">
        <f t="shared" si="6"/>
        <v>0.53493485185185186</v>
      </c>
      <c r="AN68"/>
      <c r="AO68" s="131">
        <f t="shared" si="68"/>
        <v>63490.281428571427</v>
      </c>
      <c r="AP68" s="131">
        <f t="shared" si="69"/>
        <v>63490.281428571427</v>
      </c>
      <c r="AQ68" s="131"/>
      <c r="AR68" s="131"/>
      <c r="AS68" s="131"/>
      <c r="AT68" s="131"/>
      <c r="AU68" s="215"/>
      <c r="AV68" s="217">
        <f t="shared" si="70"/>
        <v>502270.36</v>
      </c>
    </row>
    <row r="69" spans="3:48" s="59" customFormat="1" ht="33" customHeight="1" x14ac:dyDescent="0.3">
      <c r="C69" s="66" t="s">
        <v>150</v>
      </c>
      <c r="D69" s="67" t="s">
        <v>424</v>
      </c>
      <c r="E69" s="75">
        <v>260000</v>
      </c>
      <c r="F69" s="75">
        <v>260000</v>
      </c>
      <c r="G69" s="75">
        <v>260000</v>
      </c>
      <c r="H69" s="75">
        <v>260000</v>
      </c>
      <c r="I69" s="75">
        <v>260000</v>
      </c>
      <c r="J69" s="75">
        <v>260000</v>
      </c>
      <c r="K69" s="75">
        <v>260000</v>
      </c>
      <c r="L69" s="75">
        <v>260000</v>
      </c>
      <c r="M69" s="75">
        <v>260000</v>
      </c>
      <c r="N69" s="75">
        <v>260000</v>
      </c>
      <c r="O69" s="75">
        <v>260000</v>
      </c>
      <c r="P69" s="75">
        <v>260000</v>
      </c>
      <c r="Q69" s="169">
        <f t="shared" si="58"/>
        <v>3120000</v>
      </c>
      <c r="R69" s="175" t="s">
        <v>150</v>
      </c>
      <c r="S69" s="175" t="s">
        <v>424</v>
      </c>
      <c r="T69" s="176">
        <v>0</v>
      </c>
      <c r="U69" s="183">
        <f t="shared" si="67"/>
        <v>3120000</v>
      </c>
      <c r="V69" s="173" t="s">
        <v>150</v>
      </c>
      <c r="W69" s="130" t="s">
        <v>424</v>
      </c>
      <c r="X69" s="131">
        <v>169679.16</v>
      </c>
      <c r="Y69" s="131">
        <v>158994.92000000001</v>
      </c>
      <c r="Z69" s="131">
        <v>178737.49</v>
      </c>
      <c r="AA69" s="131">
        <v>159895.45000000001</v>
      </c>
      <c r="AB69" s="131">
        <v>167403.12</v>
      </c>
      <c r="AC69" s="131">
        <v>184591.99</v>
      </c>
      <c r="AD69" s="131">
        <v>166772.79</v>
      </c>
      <c r="AE69" s="131">
        <v>166768.89000000001</v>
      </c>
      <c r="AF69" s="131">
        <v>166768.89000000001</v>
      </c>
      <c r="AG69" s="131"/>
      <c r="AH69" s="131"/>
      <c r="AI69" s="131"/>
      <c r="AJ69" s="132">
        <f t="shared" si="7"/>
        <v>1519612.7000000002</v>
      </c>
      <c r="AK69" s="132">
        <f t="shared" si="38"/>
        <v>1600387.2999999998</v>
      </c>
      <c r="AL69" s="204">
        <f t="shared" si="6"/>
        <v>0.48705535256410265</v>
      </c>
      <c r="AN69"/>
      <c r="AO69" s="131">
        <f t="shared" si="68"/>
        <v>169439.27428571429</v>
      </c>
      <c r="AP69" s="131">
        <f t="shared" si="69"/>
        <v>169439.27428571429</v>
      </c>
      <c r="AQ69" s="131"/>
      <c r="AR69" s="131"/>
      <c r="AS69" s="131"/>
      <c r="AT69" s="131"/>
      <c r="AU69" s="215"/>
      <c r="AV69" s="217">
        <f t="shared" si="70"/>
        <v>1600387.2999999998</v>
      </c>
    </row>
    <row r="70" spans="3:48" s="59" customFormat="1" ht="24" customHeight="1" x14ac:dyDescent="0.3">
      <c r="C70" s="73" t="s">
        <v>153</v>
      </c>
      <c r="D70" s="74" t="s">
        <v>425</v>
      </c>
      <c r="E70" s="75">
        <v>240000</v>
      </c>
      <c r="F70" s="75">
        <v>240000</v>
      </c>
      <c r="G70" s="75">
        <v>240000</v>
      </c>
      <c r="H70" s="75">
        <v>240000</v>
      </c>
      <c r="I70" s="75">
        <v>240000</v>
      </c>
      <c r="J70" s="75">
        <v>240000</v>
      </c>
      <c r="K70" s="75">
        <v>240000</v>
      </c>
      <c r="L70" s="75">
        <v>240000</v>
      </c>
      <c r="M70" s="75">
        <v>240000</v>
      </c>
      <c r="N70" s="75">
        <v>240000</v>
      </c>
      <c r="O70" s="75">
        <v>240000</v>
      </c>
      <c r="P70" s="75">
        <v>240000</v>
      </c>
      <c r="Q70" s="169">
        <f t="shared" si="58"/>
        <v>2880000</v>
      </c>
      <c r="R70" s="175" t="s">
        <v>153</v>
      </c>
      <c r="S70" s="175" t="s">
        <v>425</v>
      </c>
      <c r="T70" s="176">
        <v>0</v>
      </c>
      <c r="U70" s="183">
        <f t="shared" si="67"/>
        <v>2880000</v>
      </c>
      <c r="V70" s="173" t="s">
        <v>153</v>
      </c>
      <c r="W70" s="130" t="s">
        <v>425</v>
      </c>
      <c r="X70" s="131">
        <v>135029.69</v>
      </c>
      <c r="Y70" s="131">
        <v>138480.69</v>
      </c>
      <c r="Z70" s="131">
        <v>133106.70000000001</v>
      </c>
      <c r="AA70" s="131">
        <v>140245.5</v>
      </c>
      <c r="AB70" s="131">
        <v>173392.88</v>
      </c>
      <c r="AC70" s="131">
        <v>141973.28</v>
      </c>
      <c r="AD70" s="131">
        <v>120698.97</v>
      </c>
      <c r="AE70" s="131">
        <v>143361.14000000001</v>
      </c>
      <c r="AF70" s="131">
        <v>146247.03</v>
      </c>
      <c r="AG70" s="131"/>
      <c r="AH70" s="131"/>
      <c r="AI70" s="131"/>
      <c r="AJ70" s="132">
        <f t="shared" si="7"/>
        <v>1272535.8800000001</v>
      </c>
      <c r="AK70" s="132">
        <f t="shared" si="38"/>
        <v>1607464.1199999999</v>
      </c>
      <c r="AL70" s="204">
        <f t="shared" si="6"/>
        <v>0.44185273611111114</v>
      </c>
      <c r="AN70"/>
      <c r="AO70" s="131">
        <f t="shared" si="68"/>
        <v>140418.24428571429</v>
      </c>
      <c r="AP70" s="131">
        <f t="shared" si="69"/>
        <v>140418.24428571429</v>
      </c>
      <c r="AQ70" s="131"/>
      <c r="AR70" s="131"/>
      <c r="AS70" s="131"/>
      <c r="AT70" s="131"/>
      <c r="AU70" s="215"/>
      <c r="AV70" s="217">
        <f t="shared" si="70"/>
        <v>1607464.1199999999</v>
      </c>
    </row>
    <row r="71" spans="3:48" s="59" customFormat="1" ht="22.5" customHeight="1" x14ac:dyDescent="0.3">
      <c r="C71" s="66" t="s">
        <v>157</v>
      </c>
      <c r="D71" s="67" t="s">
        <v>156</v>
      </c>
      <c r="E71" s="68">
        <v>2850</v>
      </c>
      <c r="F71" s="68">
        <v>2850</v>
      </c>
      <c r="G71" s="68">
        <v>2850</v>
      </c>
      <c r="H71" s="68">
        <v>2850</v>
      </c>
      <c r="I71" s="68">
        <v>2850</v>
      </c>
      <c r="J71" s="68">
        <v>2850</v>
      </c>
      <c r="K71" s="68">
        <v>2850</v>
      </c>
      <c r="L71" s="68">
        <v>2850</v>
      </c>
      <c r="M71" s="68">
        <v>2850</v>
      </c>
      <c r="N71" s="68">
        <v>2850</v>
      </c>
      <c r="O71" s="68">
        <v>2850</v>
      </c>
      <c r="P71" s="68">
        <v>2850</v>
      </c>
      <c r="Q71" s="169">
        <f t="shared" si="58"/>
        <v>34200</v>
      </c>
      <c r="R71" s="175" t="s">
        <v>157</v>
      </c>
      <c r="S71" s="175" t="s">
        <v>156</v>
      </c>
      <c r="T71" s="176">
        <v>0</v>
      </c>
      <c r="U71" s="183">
        <f t="shared" si="67"/>
        <v>34200</v>
      </c>
      <c r="V71" s="173" t="s">
        <v>157</v>
      </c>
      <c r="W71" s="130" t="s">
        <v>156</v>
      </c>
      <c r="X71" s="131">
        <v>3760</v>
      </c>
      <c r="Y71" s="131">
        <v>3760</v>
      </c>
      <c r="Z71" s="131">
        <v>3760</v>
      </c>
      <c r="AA71" s="131">
        <v>0</v>
      </c>
      <c r="AB71" s="131">
        <v>7520</v>
      </c>
      <c r="AC71" s="131">
        <v>3760</v>
      </c>
      <c r="AD71" s="131">
        <v>3760</v>
      </c>
      <c r="AE71" s="131">
        <v>3760</v>
      </c>
      <c r="AF71" s="131">
        <v>1622</v>
      </c>
      <c r="AG71" s="131"/>
      <c r="AH71" s="131"/>
      <c r="AI71" s="131"/>
      <c r="AJ71" s="132">
        <f t="shared" si="7"/>
        <v>31702</v>
      </c>
      <c r="AK71" s="132">
        <f t="shared" si="38"/>
        <v>2498</v>
      </c>
      <c r="AL71" s="204">
        <f t="shared" si="6"/>
        <v>0.92695906432748543</v>
      </c>
      <c r="AN71"/>
      <c r="AO71" s="131">
        <f t="shared" si="68"/>
        <v>3760</v>
      </c>
      <c r="AP71" s="131">
        <f t="shared" si="69"/>
        <v>3760</v>
      </c>
      <c r="AQ71" s="131"/>
      <c r="AR71" s="131"/>
      <c r="AS71" s="131"/>
      <c r="AT71" s="131"/>
      <c r="AU71" s="215"/>
      <c r="AV71" s="217">
        <f t="shared" si="70"/>
        <v>2498</v>
      </c>
    </row>
    <row r="72" spans="3:48" s="59" customFormat="1" ht="26.25" customHeight="1" x14ac:dyDescent="0.3">
      <c r="C72" s="66" t="s">
        <v>160</v>
      </c>
      <c r="D72" s="67" t="s">
        <v>426</v>
      </c>
      <c r="E72" s="68">
        <v>2350</v>
      </c>
      <c r="F72" s="68">
        <v>2350</v>
      </c>
      <c r="G72" s="68">
        <v>2350</v>
      </c>
      <c r="H72" s="68">
        <v>2350</v>
      </c>
      <c r="I72" s="68">
        <v>2350</v>
      </c>
      <c r="J72" s="68">
        <v>2350</v>
      </c>
      <c r="K72" s="68">
        <v>2350</v>
      </c>
      <c r="L72" s="68">
        <v>2350</v>
      </c>
      <c r="M72" s="68">
        <v>2350</v>
      </c>
      <c r="N72" s="68">
        <v>2350</v>
      </c>
      <c r="O72" s="68">
        <v>2350</v>
      </c>
      <c r="P72" s="68">
        <v>2350</v>
      </c>
      <c r="Q72" s="169">
        <f t="shared" si="58"/>
        <v>28200</v>
      </c>
      <c r="R72" s="175" t="s">
        <v>160</v>
      </c>
      <c r="S72" s="175" t="s">
        <v>426</v>
      </c>
      <c r="T72" s="176">
        <v>0</v>
      </c>
      <c r="U72" s="183">
        <f t="shared" si="67"/>
        <v>28200</v>
      </c>
      <c r="V72" s="173" t="s">
        <v>160</v>
      </c>
      <c r="W72" s="130" t="s">
        <v>426</v>
      </c>
      <c r="X72" s="131">
        <v>1425</v>
      </c>
      <c r="Y72" s="131">
        <v>1425</v>
      </c>
      <c r="Z72" s="131">
        <v>1592</v>
      </c>
      <c r="AA72" s="131">
        <v>1425</v>
      </c>
      <c r="AB72" s="131">
        <v>1425</v>
      </c>
      <c r="AC72" s="131">
        <v>1425</v>
      </c>
      <c r="AD72" s="131">
        <v>1425</v>
      </c>
      <c r="AE72" s="131">
        <v>1425</v>
      </c>
      <c r="AF72" s="131">
        <v>1425</v>
      </c>
      <c r="AG72" s="131"/>
      <c r="AH72" s="131"/>
      <c r="AI72" s="131"/>
      <c r="AJ72" s="132">
        <f t="shared" si="7"/>
        <v>12992</v>
      </c>
      <c r="AK72" s="132">
        <f t="shared" si="38"/>
        <v>15208</v>
      </c>
      <c r="AL72" s="204">
        <f t="shared" si="6"/>
        <v>0.46070921985815605</v>
      </c>
      <c r="AN72"/>
      <c r="AO72" s="131">
        <f t="shared" si="68"/>
        <v>1448.8571428571429</v>
      </c>
      <c r="AP72" s="131">
        <f t="shared" si="69"/>
        <v>1448.8571428571429</v>
      </c>
      <c r="AQ72" s="131"/>
      <c r="AR72" s="131"/>
      <c r="AS72" s="131"/>
      <c r="AT72" s="131"/>
      <c r="AU72" s="215"/>
      <c r="AV72" s="217">
        <f t="shared" si="70"/>
        <v>15208</v>
      </c>
    </row>
    <row r="73" spans="3:48" s="59" customFormat="1" ht="24.75" customHeight="1" x14ac:dyDescent="0.3">
      <c r="C73" s="66" t="s">
        <v>164</v>
      </c>
      <c r="D73" s="67" t="s">
        <v>163</v>
      </c>
      <c r="E73" s="68">
        <f t="shared" ref="E73:P73" si="71">SUM(E74:E75)</f>
        <v>0</v>
      </c>
      <c r="F73" s="68">
        <f t="shared" si="71"/>
        <v>1135800</v>
      </c>
      <c r="G73" s="68">
        <f t="shared" si="71"/>
        <v>0</v>
      </c>
      <c r="H73" s="68">
        <f t="shared" si="71"/>
        <v>50000</v>
      </c>
      <c r="I73" s="68">
        <f t="shared" si="71"/>
        <v>37100</v>
      </c>
      <c r="J73" s="68">
        <f t="shared" si="71"/>
        <v>1600000</v>
      </c>
      <c r="K73" s="68">
        <f t="shared" si="71"/>
        <v>0</v>
      </c>
      <c r="L73" s="68">
        <f t="shared" si="71"/>
        <v>50000</v>
      </c>
      <c r="M73" s="68">
        <f t="shared" si="71"/>
        <v>0</v>
      </c>
      <c r="N73" s="68">
        <f t="shared" si="71"/>
        <v>0</v>
      </c>
      <c r="O73" s="68">
        <f t="shared" si="71"/>
        <v>35800</v>
      </c>
      <c r="P73" s="68">
        <f t="shared" si="71"/>
        <v>0</v>
      </c>
      <c r="Q73" s="169">
        <f t="shared" si="58"/>
        <v>2908700</v>
      </c>
      <c r="R73" s="175" t="s">
        <v>164</v>
      </c>
      <c r="S73" s="175" t="s">
        <v>163</v>
      </c>
      <c r="T73" s="202"/>
      <c r="U73" s="183">
        <f t="shared" si="67"/>
        <v>2908700</v>
      </c>
      <c r="V73" s="173" t="s">
        <v>164</v>
      </c>
      <c r="W73" s="130" t="s">
        <v>163</v>
      </c>
      <c r="X73" s="131">
        <v>0</v>
      </c>
      <c r="Y73" s="131">
        <f>SUM(Y74:Y75)</f>
        <v>0</v>
      </c>
      <c r="Z73" s="131">
        <f>SUM(Z74:Z75)</f>
        <v>0</v>
      </c>
      <c r="AA73" s="131">
        <f>SUM(AA74:AA75)</f>
        <v>96956.68</v>
      </c>
      <c r="AB73" s="131">
        <v>24239.17</v>
      </c>
      <c r="AC73" s="131">
        <f>+AC75</f>
        <v>24239.17</v>
      </c>
      <c r="AD73" s="131">
        <v>24239.17</v>
      </c>
      <c r="AE73" s="131">
        <v>95039.17</v>
      </c>
      <c r="AF73" s="131">
        <v>106702.05</v>
      </c>
      <c r="AG73" s="131">
        <f>SUM(AG74:AG75)</f>
        <v>0</v>
      </c>
      <c r="AH73" s="131">
        <f>SUM(AH74:AH75)</f>
        <v>0</v>
      </c>
      <c r="AI73" s="131">
        <f>SUM(AI74:AI75)</f>
        <v>0</v>
      </c>
      <c r="AJ73" s="132">
        <f t="shared" si="7"/>
        <v>371415.41</v>
      </c>
      <c r="AK73" s="132">
        <f t="shared" ref="AK73:AK106" si="72">+U73-AJ73</f>
        <v>2537284.59</v>
      </c>
      <c r="AL73" s="204">
        <f t="shared" si="6"/>
        <v>0.12769120569326503</v>
      </c>
      <c r="AN73"/>
      <c r="AO73" s="131">
        <f t="shared" si="68"/>
        <v>24239.170000000002</v>
      </c>
      <c r="AP73" s="131">
        <f t="shared" si="69"/>
        <v>24239.170000000002</v>
      </c>
      <c r="AQ73" s="131"/>
      <c r="AR73" s="131"/>
      <c r="AS73" s="131"/>
      <c r="AT73" s="131"/>
      <c r="AU73" s="215"/>
      <c r="AV73" s="217">
        <f t="shared" si="70"/>
        <v>2537284.59</v>
      </c>
    </row>
    <row r="74" spans="3:48" s="83" customFormat="1" ht="24.75" customHeight="1" x14ac:dyDescent="0.25">
      <c r="C74" s="62" t="s">
        <v>394</v>
      </c>
      <c r="D74" s="80" t="s">
        <v>427</v>
      </c>
      <c r="E74" s="81"/>
      <c r="F74" s="82">
        <v>1100000</v>
      </c>
      <c r="G74" s="82"/>
      <c r="H74" s="82">
        <v>50000</v>
      </c>
      <c r="I74" s="82"/>
      <c r="J74" s="82">
        <v>1600000</v>
      </c>
      <c r="K74" s="82"/>
      <c r="L74" s="82">
        <v>50000</v>
      </c>
      <c r="M74" s="82"/>
      <c r="N74" s="82"/>
      <c r="O74" s="82"/>
      <c r="P74" s="81"/>
      <c r="Q74" s="163">
        <f t="shared" si="58"/>
        <v>2800000</v>
      </c>
      <c r="R74" s="165" t="s">
        <v>394</v>
      </c>
      <c r="S74" s="165" t="s">
        <v>427</v>
      </c>
      <c r="T74" s="166"/>
      <c r="U74" s="181"/>
      <c r="V74" s="164" t="s">
        <v>394</v>
      </c>
      <c r="W74" s="80" t="s">
        <v>427</v>
      </c>
      <c r="X74" s="81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1"/>
      <c r="AJ74" s="65">
        <f t="shared" ref="AJ74:AJ137" si="73">SUM(X74:AI74)</f>
        <v>0</v>
      </c>
      <c r="AK74" s="65">
        <f t="shared" si="72"/>
        <v>0</v>
      </c>
      <c r="AL74" s="205">
        <f t="shared" ref="AL74:AL140" si="74">IFERROR(AJ74/U74,0)</f>
        <v>0</v>
      </c>
      <c r="AN74"/>
      <c r="AO74" s="216"/>
      <c r="AP74" s="216"/>
      <c r="AQ74" s="216"/>
      <c r="AR74" s="216"/>
      <c r="AS74" s="216"/>
      <c r="AT74" s="216"/>
      <c r="AU74" s="216"/>
      <c r="AV74" s="216"/>
    </row>
    <row r="75" spans="3:48" s="83" customFormat="1" ht="28.5" customHeight="1" x14ac:dyDescent="0.25">
      <c r="C75" s="62" t="s">
        <v>398</v>
      </c>
      <c r="D75" s="80" t="s">
        <v>428</v>
      </c>
      <c r="E75" s="81"/>
      <c r="F75" s="82">
        <v>35800</v>
      </c>
      <c r="G75" s="82"/>
      <c r="H75" s="82"/>
      <c r="I75" s="82">
        <v>37100</v>
      </c>
      <c r="J75" s="82"/>
      <c r="K75" s="82"/>
      <c r="L75" s="82"/>
      <c r="M75" s="82"/>
      <c r="N75" s="82"/>
      <c r="O75" s="82">
        <v>35800</v>
      </c>
      <c r="P75" s="81"/>
      <c r="Q75" s="163">
        <f t="shared" si="58"/>
        <v>108700</v>
      </c>
      <c r="R75" s="165" t="s">
        <v>398</v>
      </c>
      <c r="S75" s="165" t="s">
        <v>428</v>
      </c>
      <c r="T75" s="166"/>
      <c r="U75" s="181"/>
      <c r="V75" s="164" t="s">
        <v>398</v>
      </c>
      <c r="W75" s="80" t="s">
        <v>428</v>
      </c>
      <c r="X75" s="81"/>
      <c r="Y75" s="82"/>
      <c r="Z75" s="82"/>
      <c r="AA75" s="82">
        <v>96956.68</v>
      </c>
      <c r="AB75" s="82"/>
      <c r="AC75" s="82">
        <v>24239.17</v>
      </c>
      <c r="AD75" s="82"/>
      <c r="AE75" s="82"/>
      <c r="AF75" s="82"/>
      <c r="AG75" s="82"/>
      <c r="AH75" s="82"/>
      <c r="AI75" s="81"/>
      <c r="AJ75" s="65">
        <f t="shared" si="73"/>
        <v>121195.84999999999</v>
      </c>
      <c r="AK75" s="65">
        <f t="shared" si="72"/>
        <v>-121195.84999999999</v>
      </c>
      <c r="AL75" s="205">
        <f t="shared" si="74"/>
        <v>0</v>
      </c>
      <c r="AN75"/>
      <c r="AO75" s="216"/>
      <c r="AP75" s="216"/>
      <c r="AQ75" s="216"/>
      <c r="AR75" s="216"/>
      <c r="AS75" s="216"/>
      <c r="AT75" s="216"/>
      <c r="AU75" s="216"/>
      <c r="AV75" s="216"/>
    </row>
    <row r="76" spans="3:48" s="59" customFormat="1" ht="25.5" customHeight="1" x14ac:dyDescent="0.3">
      <c r="C76" s="66" t="s">
        <v>167</v>
      </c>
      <c r="D76" s="67" t="s">
        <v>429</v>
      </c>
      <c r="E76" s="68">
        <f t="shared" ref="E76:P76" si="75">SUM(E77:E79)</f>
        <v>0</v>
      </c>
      <c r="F76" s="68">
        <f t="shared" si="75"/>
        <v>1141001</v>
      </c>
      <c r="G76" s="68">
        <f t="shared" si="75"/>
        <v>0</v>
      </c>
      <c r="H76" s="68">
        <f t="shared" si="75"/>
        <v>200000</v>
      </c>
      <c r="I76" s="68">
        <f t="shared" si="75"/>
        <v>112500</v>
      </c>
      <c r="J76" s="68">
        <f t="shared" si="75"/>
        <v>0</v>
      </c>
      <c r="K76" s="68">
        <f t="shared" si="75"/>
        <v>0</v>
      </c>
      <c r="L76" s="68">
        <f t="shared" si="75"/>
        <v>850000</v>
      </c>
      <c r="M76" s="68">
        <f t="shared" si="75"/>
        <v>0</v>
      </c>
      <c r="N76" s="68">
        <f t="shared" si="75"/>
        <v>0</v>
      </c>
      <c r="O76" s="68">
        <f t="shared" si="75"/>
        <v>336200</v>
      </c>
      <c r="P76" s="68">
        <f t="shared" si="75"/>
        <v>0</v>
      </c>
      <c r="Q76" s="169">
        <f t="shared" si="58"/>
        <v>2639701</v>
      </c>
      <c r="R76" s="175" t="s">
        <v>167</v>
      </c>
      <c r="S76" s="175" t="s">
        <v>429</v>
      </c>
      <c r="T76" s="202">
        <v>-861200</v>
      </c>
      <c r="U76" s="183">
        <f t="shared" ref="U76" si="76">+Q76+T76</f>
        <v>1778501</v>
      </c>
      <c r="V76" s="173" t="s">
        <v>167</v>
      </c>
      <c r="W76" s="130" t="s">
        <v>429</v>
      </c>
      <c r="X76" s="131">
        <f>SUM(X77:X79)</f>
        <v>0</v>
      </c>
      <c r="Y76" s="131">
        <f>SUM(Y77:Y79)</f>
        <v>0</v>
      </c>
      <c r="Z76" s="131">
        <f>SUM(Z77:Z79)</f>
        <v>0</v>
      </c>
      <c r="AA76" s="131">
        <f>SUM(AA77:AA79)</f>
        <v>108088</v>
      </c>
      <c r="AB76" s="131">
        <f>+AB77</f>
        <v>-10148</v>
      </c>
      <c r="AC76" s="131">
        <f>SUM(AC77:AC79)</f>
        <v>171029.2</v>
      </c>
      <c r="AD76" s="131">
        <v>0</v>
      </c>
      <c r="AE76" s="131">
        <f>SUM(AE77:AE79)</f>
        <v>0</v>
      </c>
      <c r="AF76" s="131">
        <f>SUM(AF77:AF79)</f>
        <v>0</v>
      </c>
      <c r="AG76" s="131">
        <f>SUM(AG77:AG79)</f>
        <v>0</v>
      </c>
      <c r="AH76" s="131">
        <f>SUM(AH77:AH79)</f>
        <v>0</v>
      </c>
      <c r="AI76" s="131">
        <f>SUM(AI77:AI79)</f>
        <v>0</v>
      </c>
      <c r="AJ76" s="132">
        <f t="shared" si="73"/>
        <v>268969.2</v>
      </c>
      <c r="AK76" s="220">
        <f t="shared" si="72"/>
        <v>1509531.8</v>
      </c>
      <c r="AL76" s="204">
        <f t="shared" si="74"/>
        <v>0.15123365126024671</v>
      </c>
      <c r="AN76"/>
      <c r="AO76" s="131">
        <f>IFERROR(AVERAGE(X76:AD76),0)</f>
        <v>38424.171428571433</v>
      </c>
      <c r="AP76" s="131">
        <f>+AO76</f>
        <v>38424.171428571433</v>
      </c>
      <c r="AQ76" s="131">
        <f t="shared" ref="AQ76:AT76" si="77">+AP76</f>
        <v>38424.171428571433</v>
      </c>
      <c r="AR76" s="131">
        <f t="shared" si="77"/>
        <v>38424.171428571433</v>
      </c>
      <c r="AS76" s="131">
        <f t="shared" si="77"/>
        <v>38424.171428571433</v>
      </c>
      <c r="AT76" s="131">
        <f t="shared" si="77"/>
        <v>38424.171428571433</v>
      </c>
      <c r="AU76" s="131">
        <f>SUM(AO76:AT76)</f>
        <v>230545.02857142859</v>
      </c>
      <c r="AV76" s="217">
        <f>+AK76-AU76</f>
        <v>1278986.7714285715</v>
      </c>
    </row>
    <row r="77" spans="3:48" s="83" customFormat="1" ht="25.5" customHeight="1" x14ac:dyDescent="0.25">
      <c r="C77" s="62" t="s">
        <v>394</v>
      </c>
      <c r="D77" s="80" t="s">
        <v>430</v>
      </c>
      <c r="E77" s="81"/>
      <c r="F77" s="82">
        <f>1400000-258999</f>
        <v>1141001</v>
      </c>
      <c r="G77" s="82"/>
      <c r="H77" s="82"/>
      <c r="I77" s="82"/>
      <c r="J77" s="82"/>
      <c r="K77" s="82"/>
      <c r="L77" s="82">
        <v>850000</v>
      </c>
      <c r="M77" s="82"/>
      <c r="N77" s="82"/>
      <c r="O77" s="82">
        <v>223700</v>
      </c>
      <c r="P77" s="81"/>
      <c r="Q77" s="163">
        <f t="shared" si="58"/>
        <v>2214701</v>
      </c>
      <c r="R77" s="165" t="s">
        <v>394</v>
      </c>
      <c r="S77" s="165" t="s">
        <v>430</v>
      </c>
      <c r="T77" s="166"/>
      <c r="U77" s="181"/>
      <c r="V77" s="164" t="s">
        <v>394</v>
      </c>
      <c r="W77" s="80" t="s">
        <v>430</v>
      </c>
      <c r="X77" s="81"/>
      <c r="Y77" s="82"/>
      <c r="Z77" s="82"/>
      <c r="AA77" s="82">
        <v>108088</v>
      </c>
      <c r="AB77" s="82">
        <v>-10148</v>
      </c>
      <c r="AC77" s="82">
        <v>171029.2</v>
      </c>
      <c r="AD77" s="82"/>
      <c r="AE77" s="82"/>
      <c r="AF77" s="82"/>
      <c r="AG77" s="82"/>
      <c r="AH77" s="82"/>
      <c r="AI77" s="81"/>
      <c r="AJ77" s="65">
        <f t="shared" si="73"/>
        <v>268969.2</v>
      </c>
      <c r="AK77" s="65">
        <f t="shared" si="72"/>
        <v>-268969.2</v>
      </c>
      <c r="AL77" s="205">
        <f t="shared" si="74"/>
        <v>0</v>
      </c>
      <c r="AN77"/>
      <c r="AO77" s="216"/>
      <c r="AP77" s="216"/>
      <c r="AQ77" s="216"/>
      <c r="AR77" s="216"/>
      <c r="AS77" s="216"/>
      <c r="AT77" s="216"/>
      <c r="AU77" s="216"/>
      <c r="AV77" s="216"/>
    </row>
    <row r="78" spans="3:48" s="83" customFormat="1" ht="25.5" customHeight="1" x14ac:dyDescent="0.25">
      <c r="C78" s="62" t="s">
        <v>396</v>
      </c>
      <c r="D78" s="80" t="s">
        <v>431</v>
      </c>
      <c r="E78" s="81"/>
      <c r="F78" s="82"/>
      <c r="G78" s="82"/>
      <c r="H78" s="82"/>
      <c r="I78" s="82">
        <v>112500</v>
      </c>
      <c r="J78" s="82"/>
      <c r="K78" s="82"/>
      <c r="L78" s="82"/>
      <c r="M78" s="82"/>
      <c r="N78" s="82"/>
      <c r="O78" s="82">
        <v>112500</v>
      </c>
      <c r="P78" s="81"/>
      <c r="Q78" s="163">
        <f t="shared" si="58"/>
        <v>225000</v>
      </c>
      <c r="R78" s="165" t="s">
        <v>396</v>
      </c>
      <c r="S78" s="165" t="s">
        <v>431</v>
      </c>
      <c r="T78" s="166"/>
      <c r="U78" s="181"/>
      <c r="V78" s="164" t="s">
        <v>396</v>
      </c>
      <c r="W78" s="80" t="s">
        <v>431</v>
      </c>
      <c r="X78" s="81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1"/>
      <c r="AJ78" s="65">
        <f t="shared" si="73"/>
        <v>0</v>
      </c>
      <c r="AK78" s="65">
        <f t="shared" si="72"/>
        <v>0</v>
      </c>
      <c r="AL78" s="205">
        <f t="shared" si="74"/>
        <v>0</v>
      </c>
      <c r="AN78"/>
      <c r="AO78" s="216"/>
      <c r="AP78" s="216"/>
      <c r="AQ78" s="216"/>
      <c r="AR78" s="216"/>
      <c r="AS78" s="216"/>
      <c r="AT78" s="216"/>
      <c r="AU78" s="216"/>
      <c r="AV78" s="216"/>
    </row>
    <row r="79" spans="3:48" s="83" customFormat="1" ht="25.5" customHeight="1" x14ac:dyDescent="0.25">
      <c r="C79" s="62" t="s">
        <v>398</v>
      </c>
      <c r="D79" s="80" t="s">
        <v>432</v>
      </c>
      <c r="E79" s="81"/>
      <c r="F79" s="82"/>
      <c r="G79" s="82"/>
      <c r="H79" s="82">
        <v>200000</v>
      </c>
      <c r="I79" s="82"/>
      <c r="J79" s="82"/>
      <c r="K79" s="82"/>
      <c r="L79" s="82"/>
      <c r="M79" s="82"/>
      <c r="N79" s="82"/>
      <c r="O79" s="82"/>
      <c r="P79" s="81"/>
      <c r="Q79" s="163">
        <f t="shared" si="58"/>
        <v>200000</v>
      </c>
      <c r="R79" s="165" t="s">
        <v>398</v>
      </c>
      <c r="S79" s="165" t="s">
        <v>432</v>
      </c>
      <c r="T79" s="166"/>
      <c r="U79" s="181"/>
      <c r="V79" s="164" t="s">
        <v>398</v>
      </c>
      <c r="W79" s="80" t="s">
        <v>432</v>
      </c>
      <c r="X79" s="81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1"/>
      <c r="AJ79" s="65">
        <f t="shared" si="73"/>
        <v>0</v>
      </c>
      <c r="AK79" s="65">
        <f t="shared" si="72"/>
        <v>0</v>
      </c>
      <c r="AL79" s="205">
        <f t="shared" si="74"/>
        <v>0</v>
      </c>
      <c r="AN79"/>
      <c r="AO79" s="216"/>
      <c r="AP79" s="216"/>
      <c r="AQ79" s="216"/>
      <c r="AR79" s="216"/>
      <c r="AS79" s="216"/>
      <c r="AT79" s="216"/>
      <c r="AU79" s="216"/>
      <c r="AV79" s="216"/>
    </row>
    <row r="80" spans="3:48" s="59" customFormat="1" ht="18.75" x14ac:dyDescent="0.3">
      <c r="C80" s="66" t="s">
        <v>174</v>
      </c>
      <c r="D80" s="67" t="s">
        <v>433</v>
      </c>
      <c r="E80" s="68"/>
      <c r="F80" s="68">
        <f t="shared" ref="F80:P80" si="78">SUM(F81:F82)</f>
        <v>855000</v>
      </c>
      <c r="G80" s="68">
        <f t="shared" si="78"/>
        <v>0</v>
      </c>
      <c r="H80" s="68">
        <f t="shared" si="78"/>
        <v>0</v>
      </c>
      <c r="I80" s="68">
        <f t="shared" si="78"/>
        <v>935000</v>
      </c>
      <c r="J80" s="68">
        <f t="shared" si="78"/>
        <v>0</v>
      </c>
      <c r="K80" s="68">
        <f t="shared" si="78"/>
        <v>0</v>
      </c>
      <c r="L80" s="68">
        <f t="shared" si="78"/>
        <v>680000</v>
      </c>
      <c r="M80" s="68">
        <f t="shared" si="78"/>
        <v>0</v>
      </c>
      <c r="N80" s="68">
        <f t="shared" si="78"/>
        <v>0</v>
      </c>
      <c r="O80" s="68">
        <f t="shared" si="78"/>
        <v>305000</v>
      </c>
      <c r="P80" s="68">
        <f t="shared" si="78"/>
        <v>0</v>
      </c>
      <c r="Q80" s="169">
        <f t="shared" si="58"/>
        <v>2775000</v>
      </c>
      <c r="R80" s="175" t="s">
        <v>174</v>
      </c>
      <c r="S80" s="175" t="s">
        <v>433</v>
      </c>
      <c r="T80" s="176">
        <v>-1894000</v>
      </c>
      <c r="U80" s="183">
        <f t="shared" ref="U80" si="79">+Q80+T80</f>
        <v>881000</v>
      </c>
      <c r="V80" s="173" t="s">
        <v>174</v>
      </c>
      <c r="W80" s="130" t="s">
        <v>433</v>
      </c>
      <c r="X80" s="131"/>
      <c r="Y80" s="131">
        <f>SUM(Y81:Y82)</f>
        <v>0</v>
      </c>
      <c r="Z80" s="131">
        <f>SUM(Z81:Z82)</f>
        <v>0</v>
      </c>
      <c r="AA80" s="131">
        <f>SUM(AA81:AA82)</f>
        <v>0</v>
      </c>
      <c r="AB80" s="131">
        <f>SUM(AB81:AB82)</f>
        <v>0</v>
      </c>
      <c r="AC80" s="131">
        <v>0</v>
      </c>
      <c r="AD80" s="131">
        <v>0</v>
      </c>
      <c r="AE80" s="131">
        <f>SUM(AE81:AE82)</f>
        <v>0</v>
      </c>
      <c r="AF80" s="131">
        <f>SUM(AF81:AF82)</f>
        <v>0</v>
      </c>
      <c r="AG80" s="131">
        <f>SUM(AG81:AG82)</f>
        <v>0</v>
      </c>
      <c r="AH80" s="131">
        <f>SUM(AH81:AH82)</f>
        <v>0</v>
      </c>
      <c r="AI80" s="131">
        <f>SUM(AI81:AI82)</f>
        <v>0</v>
      </c>
      <c r="AJ80" s="132">
        <f t="shared" si="73"/>
        <v>0</v>
      </c>
      <c r="AK80" s="132">
        <f t="shared" si="72"/>
        <v>881000</v>
      </c>
      <c r="AL80" s="204">
        <f t="shared" si="74"/>
        <v>0</v>
      </c>
      <c r="AN80"/>
      <c r="AO80" s="131">
        <f>IFERROR(AVERAGE(X80:AD80),0)</f>
        <v>0</v>
      </c>
      <c r="AP80" s="131">
        <f>+AO80</f>
        <v>0</v>
      </c>
      <c r="AQ80" s="131">
        <f t="shared" ref="AQ80:AT80" si="80">+AP80</f>
        <v>0</v>
      </c>
      <c r="AR80" s="131">
        <f t="shared" si="80"/>
        <v>0</v>
      </c>
      <c r="AS80" s="131">
        <f t="shared" si="80"/>
        <v>0</v>
      </c>
      <c r="AT80" s="131">
        <f t="shared" si="80"/>
        <v>0</v>
      </c>
      <c r="AU80" s="131">
        <f t="shared" ref="AU80" si="81">SUM(AO80:AT80)</f>
        <v>0</v>
      </c>
      <c r="AV80" s="217">
        <f>+AK80-AU80</f>
        <v>881000</v>
      </c>
    </row>
    <row r="81" spans="3:48" s="83" customFormat="1" ht="21.75" customHeight="1" x14ac:dyDescent="0.25">
      <c r="C81" s="62" t="s">
        <v>394</v>
      </c>
      <c r="D81" s="80" t="s">
        <v>434</v>
      </c>
      <c r="E81" s="81"/>
      <c r="F81" s="82">
        <v>580000</v>
      </c>
      <c r="G81" s="82"/>
      <c r="H81" s="82"/>
      <c r="I81" s="82">
        <v>325000</v>
      </c>
      <c r="J81" s="82"/>
      <c r="K81" s="82"/>
      <c r="L81" s="82">
        <v>200000</v>
      </c>
      <c r="M81" s="82"/>
      <c r="N81" s="82"/>
      <c r="O81" s="82">
        <v>100000</v>
      </c>
      <c r="P81" s="82"/>
      <c r="Q81" s="170">
        <f t="shared" si="58"/>
        <v>1205000</v>
      </c>
      <c r="R81" s="165" t="s">
        <v>394</v>
      </c>
      <c r="S81" s="165" t="s">
        <v>434</v>
      </c>
      <c r="T81" s="177"/>
      <c r="U81" s="184"/>
      <c r="V81" s="164" t="s">
        <v>394</v>
      </c>
      <c r="W81" s="80" t="s">
        <v>434</v>
      </c>
      <c r="X81" s="81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4">
        <f t="shared" si="73"/>
        <v>0</v>
      </c>
      <c r="AK81" s="84">
        <f t="shared" si="72"/>
        <v>0</v>
      </c>
      <c r="AL81" s="205">
        <f t="shared" si="74"/>
        <v>0</v>
      </c>
      <c r="AN81"/>
      <c r="AO81" s="216"/>
      <c r="AP81" s="216"/>
      <c r="AQ81" s="216"/>
      <c r="AR81" s="216"/>
      <c r="AS81" s="216"/>
      <c r="AT81" s="216"/>
      <c r="AU81" s="216"/>
      <c r="AV81" s="216"/>
    </row>
    <row r="82" spans="3:48" s="83" customFormat="1" ht="30" customHeight="1" x14ac:dyDescent="0.25">
      <c r="C82" s="62" t="s">
        <v>398</v>
      </c>
      <c r="D82" s="80" t="s">
        <v>435</v>
      </c>
      <c r="E82" s="81"/>
      <c r="F82" s="82">
        <v>275000</v>
      </c>
      <c r="G82" s="82"/>
      <c r="H82" s="82"/>
      <c r="I82" s="82">
        <v>610000</v>
      </c>
      <c r="J82" s="82"/>
      <c r="K82" s="82"/>
      <c r="L82" s="82">
        <v>480000</v>
      </c>
      <c r="M82" s="82"/>
      <c r="N82" s="82"/>
      <c r="O82" s="82">
        <v>205000</v>
      </c>
      <c r="P82" s="82"/>
      <c r="Q82" s="170">
        <f t="shared" si="58"/>
        <v>1570000</v>
      </c>
      <c r="R82" s="165" t="s">
        <v>398</v>
      </c>
      <c r="S82" s="165" t="s">
        <v>435</v>
      </c>
      <c r="T82" s="177"/>
      <c r="U82" s="184"/>
      <c r="V82" s="164" t="s">
        <v>398</v>
      </c>
      <c r="W82" s="80" t="s">
        <v>435</v>
      </c>
      <c r="X82" s="81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4">
        <f t="shared" si="73"/>
        <v>0</v>
      </c>
      <c r="AK82" s="84">
        <f t="shared" si="72"/>
        <v>0</v>
      </c>
      <c r="AL82" s="205">
        <f t="shared" si="74"/>
        <v>0</v>
      </c>
      <c r="AN82"/>
      <c r="AO82" s="216"/>
      <c r="AP82" s="216"/>
      <c r="AQ82" s="216"/>
      <c r="AR82" s="216"/>
      <c r="AS82" s="216"/>
      <c r="AT82" s="216"/>
      <c r="AU82" s="216"/>
      <c r="AV82" s="216"/>
    </row>
    <row r="83" spans="3:48" s="59" customFormat="1" ht="30" x14ac:dyDescent="0.3">
      <c r="C83" s="66" t="s">
        <v>171</v>
      </c>
      <c r="D83" s="67" t="s">
        <v>436</v>
      </c>
      <c r="E83" s="68"/>
      <c r="F83" s="68">
        <v>5800</v>
      </c>
      <c r="G83" s="68"/>
      <c r="H83" s="68"/>
      <c r="I83" s="68">
        <v>15400</v>
      </c>
      <c r="J83" s="68"/>
      <c r="K83" s="68"/>
      <c r="L83" s="68">
        <v>22400</v>
      </c>
      <c r="M83" s="68"/>
      <c r="N83" s="68"/>
      <c r="O83" s="68">
        <v>10200</v>
      </c>
      <c r="P83" s="85"/>
      <c r="Q83" s="169">
        <f t="shared" si="58"/>
        <v>53800</v>
      </c>
      <c r="R83" s="175" t="s">
        <v>171</v>
      </c>
      <c r="S83" s="175" t="s">
        <v>436</v>
      </c>
      <c r="T83" s="176">
        <v>10000</v>
      </c>
      <c r="U83" s="183">
        <f t="shared" ref="U83:U85" si="82">+Q83+T83</f>
        <v>63800</v>
      </c>
      <c r="V83" s="173" t="s">
        <v>171</v>
      </c>
      <c r="W83" s="130" t="s">
        <v>436</v>
      </c>
      <c r="X83" s="131">
        <v>0</v>
      </c>
      <c r="Y83" s="131"/>
      <c r="Z83" s="131">
        <v>5700</v>
      </c>
      <c r="AA83" s="131"/>
      <c r="AB83" s="131">
        <v>0</v>
      </c>
      <c r="AC83" s="131">
        <v>0</v>
      </c>
      <c r="AD83" s="131">
        <v>2750</v>
      </c>
      <c r="AE83" s="131"/>
      <c r="AF83" s="131"/>
      <c r="AG83" s="131"/>
      <c r="AH83" s="131"/>
      <c r="AI83" s="131"/>
      <c r="AJ83" s="132">
        <f t="shared" si="73"/>
        <v>8450</v>
      </c>
      <c r="AK83" s="132">
        <f t="shared" si="72"/>
        <v>55350</v>
      </c>
      <c r="AL83" s="204">
        <f t="shared" si="74"/>
        <v>0.13244514106583072</v>
      </c>
      <c r="AN83"/>
      <c r="AO83" s="131">
        <f t="shared" ref="AO83:AO85" si="83">IFERROR(AVERAGE(X83:AD83),0)</f>
        <v>1690</v>
      </c>
      <c r="AP83" s="131">
        <f>+AO83</f>
        <v>1690</v>
      </c>
      <c r="AQ83" s="131">
        <f t="shared" ref="AQ83:AT83" si="84">+AP83</f>
        <v>1690</v>
      </c>
      <c r="AR83" s="131">
        <f t="shared" si="84"/>
        <v>1690</v>
      </c>
      <c r="AS83" s="131">
        <f t="shared" si="84"/>
        <v>1690</v>
      </c>
      <c r="AT83" s="131">
        <f t="shared" si="84"/>
        <v>1690</v>
      </c>
      <c r="AU83" s="131">
        <f>SUM(AO83:AT83)</f>
        <v>10140</v>
      </c>
      <c r="AV83" s="217">
        <f t="shared" ref="AV83:AV85" si="85">+AK83-AU83</f>
        <v>45210</v>
      </c>
    </row>
    <row r="84" spans="3:48" s="59" customFormat="1" ht="30" customHeight="1" x14ac:dyDescent="0.3">
      <c r="C84" s="66" t="s">
        <v>185</v>
      </c>
      <c r="D84" s="67" t="s">
        <v>437</v>
      </c>
      <c r="E84" s="68"/>
      <c r="F84" s="68"/>
      <c r="G84" s="68">
        <v>25000</v>
      </c>
      <c r="H84" s="68"/>
      <c r="I84" s="68"/>
      <c r="J84" s="68"/>
      <c r="K84" s="68"/>
      <c r="L84" s="68"/>
      <c r="M84" s="68"/>
      <c r="N84" s="68"/>
      <c r="O84" s="68"/>
      <c r="P84" s="85"/>
      <c r="Q84" s="169">
        <f t="shared" si="58"/>
        <v>25000</v>
      </c>
      <c r="R84" s="175" t="s">
        <v>185</v>
      </c>
      <c r="S84" s="175" t="s">
        <v>437</v>
      </c>
      <c r="T84" s="176">
        <v>0</v>
      </c>
      <c r="U84" s="183">
        <f t="shared" si="82"/>
        <v>25000</v>
      </c>
      <c r="V84" s="173" t="s">
        <v>185</v>
      </c>
      <c r="W84" s="130" t="s">
        <v>437</v>
      </c>
      <c r="X84" s="131">
        <v>0.01</v>
      </c>
      <c r="Y84" s="131"/>
      <c r="Z84" s="131"/>
      <c r="AA84" s="131"/>
      <c r="AB84" s="131"/>
      <c r="AC84" s="131"/>
      <c r="AD84" s="131">
        <v>0</v>
      </c>
      <c r="AE84" s="131"/>
      <c r="AF84" s="131"/>
      <c r="AG84" s="131"/>
      <c r="AH84" s="131"/>
      <c r="AI84" s="131"/>
      <c r="AJ84" s="132">
        <f t="shared" si="73"/>
        <v>0.01</v>
      </c>
      <c r="AK84" s="132">
        <f t="shared" si="72"/>
        <v>24999.99</v>
      </c>
      <c r="AL84" s="204">
        <f t="shared" si="74"/>
        <v>3.9999999999999998E-7</v>
      </c>
      <c r="AN84"/>
      <c r="AO84" s="131">
        <f t="shared" si="83"/>
        <v>5.0000000000000001E-3</v>
      </c>
      <c r="AP84" s="131">
        <f>+AO84</f>
        <v>5.0000000000000001E-3</v>
      </c>
      <c r="AQ84" s="131">
        <f t="shared" ref="AQ84:AT84" si="86">+AP84</f>
        <v>5.0000000000000001E-3</v>
      </c>
      <c r="AR84" s="131">
        <f t="shared" si="86"/>
        <v>5.0000000000000001E-3</v>
      </c>
      <c r="AS84" s="131">
        <f t="shared" si="86"/>
        <v>5.0000000000000001E-3</v>
      </c>
      <c r="AT84" s="131">
        <f t="shared" si="86"/>
        <v>5.0000000000000001E-3</v>
      </c>
      <c r="AU84" s="131">
        <f t="shared" ref="AU84:AU85" si="87">SUM(AO84:AT84)</f>
        <v>3.0000000000000002E-2</v>
      </c>
      <c r="AV84" s="217">
        <f t="shared" si="85"/>
        <v>24999.960000000003</v>
      </c>
    </row>
    <row r="85" spans="3:48" s="59" customFormat="1" ht="28.5" customHeight="1" x14ac:dyDescent="0.3">
      <c r="C85" s="66" t="s">
        <v>178</v>
      </c>
      <c r="D85" s="67" t="s">
        <v>438</v>
      </c>
      <c r="E85" s="68">
        <f t="shared" ref="E85:P85" si="88">SUM(E86:E87)</f>
        <v>0</v>
      </c>
      <c r="F85" s="68">
        <f t="shared" si="88"/>
        <v>1640000</v>
      </c>
      <c r="G85" s="68">
        <f t="shared" si="88"/>
        <v>0</v>
      </c>
      <c r="H85" s="68">
        <f t="shared" si="88"/>
        <v>0</v>
      </c>
      <c r="I85" s="68">
        <f t="shared" si="88"/>
        <v>955000</v>
      </c>
      <c r="J85" s="68">
        <f t="shared" si="88"/>
        <v>0</v>
      </c>
      <c r="K85" s="68">
        <f t="shared" si="88"/>
        <v>0</v>
      </c>
      <c r="L85" s="68">
        <f t="shared" si="88"/>
        <v>1085000</v>
      </c>
      <c r="M85" s="68">
        <f t="shared" si="88"/>
        <v>0</v>
      </c>
      <c r="N85" s="68">
        <f t="shared" si="88"/>
        <v>0</v>
      </c>
      <c r="O85" s="68">
        <f t="shared" si="88"/>
        <v>1080000</v>
      </c>
      <c r="P85" s="68">
        <f t="shared" si="88"/>
        <v>0</v>
      </c>
      <c r="Q85" s="169">
        <f t="shared" si="58"/>
        <v>4760000</v>
      </c>
      <c r="R85" s="175" t="s">
        <v>178</v>
      </c>
      <c r="S85" s="175" t="s">
        <v>438</v>
      </c>
      <c r="T85" s="176">
        <v>-3563600</v>
      </c>
      <c r="U85" s="183">
        <f t="shared" si="82"/>
        <v>1196400</v>
      </c>
      <c r="V85" s="173" t="s">
        <v>178</v>
      </c>
      <c r="W85" s="130" t="s">
        <v>438</v>
      </c>
      <c r="X85" s="131">
        <v>0</v>
      </c>
      <c r="Y85" s="131">
        <f>SUM(Y86:Y87)</f>
        <v>0</v>
      </c>
      <c r="Z85" s="131">
        <f>SUM(Z86:Z87)</f>
        <v>0</v>
      </c>
      <c r="AA85" s="131">
        <f>SUM(AA86:AA87)</f>
        <v>0</v>
      </c>
      <c r="AB85" s="131">
        <f>SUM(AB86:AB87)</f>
        <v>0</v>
      </c>
      <c r="AC85" s="131">
        <v>0</v>
      </c>
      <c r="AD85" s="131">
        <v>0</v>
      </c>
      <c r="AE85" s="131">
        <f>SUM(AE86:AE87)</f>
        <v>0</v>
      </c>
      <c r="AF85" s="131">
        <f>SUM(AF86:AF87)</f>
        <v>0</v>
      </c>
      <c r="AG85" s="131">
        <f>SUM(AG86:AG87)</f>
        <v>0</v>
      </c>
      <c r="AH85" s="131">
        <f>SUM(AH86:AH87)</f>
        <v>0</v>
      </c>
      <c r="AI85" s="131">
        <f>SUM(AI86:AI87)</f>
        <v>0</v>
      </c>
      <c r="AJ85" s="132">
        <f t="shared" si="73"/>
        <v>0</v>
      </c>
      <c r="AK85" s="200">
        <f t="shared" si="72"/>
        <v>1196400</v>
      </c>
      <c r="AL85" s="204">
        <f t="shared" si="74"/>
        <v>0</v>
      </c>
      <c r="AN85"/>
      <c r="AO85" s="131">
        <f t="shared" si="83"/>
        <v>0</v>
      </c>
      <c r="AP85" s="131">
        <f>+AO85*$AO$6</f>
        <v>0</v>
      </c>
      <c r="AQ85" s="131">
        <f t="shared" ref="AQ85:AT85" si="89">+AP85*$AO$6</f>
        <v>0</v>
      </c>
      <c r="AR85" s="131">
        <f t="shared" si="89"/>
        <v>0</v>
      </c>
      <c r="AS85" s="131">
        <f t="shared" si="89"/>
        <v>0</v>
      </c>
      <c r="AT85" s="131">
        <f t="shared" si="89"/>
        <v>0</v>
      </c>
      <c r="AU85" s="131">
        <f t="shared" si="87"/>
        <v>0</v>
      </c>
      <c r="AV85" s="217">
        <f t="shared" si="85"/>
        <v>1196400</v>
      </c>
    </row>
    <row r="86" spans="3:48" s="83" customFormat="1" ht="46.5" customHeight="1" x14ac:dyDescent="0.25">
      <c r="C86" s="62" t="s">
        <v>394</v>
      </c>
      <c r="D86" s="80" t="s">
        <v>439</v>
      </c>
      <c r="E86" s="81"/>
      <c r="F86" s="82">
        <f>90000+700000</f>
        <v>790000</v>
      </c>
      <c r="G86" s="82"/>
      <c r="H86" s="82"/>
      <c r="I86" s="82">
        <v>520000</v>
      </c>
      <c r="J86" s="82"/>
      <c r="K86" s="82"/>
      <c r="L86" s="82">
        <v>415000</v>
      </c>
      <c r="M86" s="82"/>
      <c r="N86" s="82"/>
      <c r="O86" s="82">
        <v>480000</v>
      </c>
      <c r="P86" s="82"/>
      <c r="Q86" s="163">
        <f t="shared" si="58"/>
        <v>2205000</v>
      </c>
      <c r="R86" s="165" t="s">
        <v>394</v>
      </c>
      <c r="S86" s="165" t="s">
        <v>439</v>
      </c>
      <c r="T86" s="166"/>
      <c r="U86" s="181"/>
      <c r="V86" s="164" t="s">
        <v>394</v>
      </c>
      <c r="W86" s="80" t="s">
        <v>439</v>
      </c>
      <c r="X86" s="81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65">
        <f t="shared" si="73"/>
        <v>0</v>
      </c>
      <c r="AK86" s="65">
        <f t="shared" si="72"/>
        <v>0</v>
      </c>
      <c r="AL86" s="205">
        <f t="shared" si="74"/>
        <v>0</v>
      </c>
      <c r="AN86"/>
      <c r="AO86" s="216"/>
      <c r="AP86" s="216"/>
      <c r="AQ86" s="216"/>
      <c r="AR86" s="216"/>
      <c r="AS86" s="216"/>
      <c r="AT86" s="216"/>
      <c r="AU86" s="216"/>
      <c r="AV86" s="216"/>
    </row>
    <row r="87" spans="3:48" s="83" customFormat="1" ht="28.5" customHeight="1" x14ac:dyDescent="0.25">
      <c r="C87" s="62" t="s">
        <v>398</v>
      </c>
      <c r="D87" s="80" t="s">
        <v>440</v>
      </c>
      <c r="E87" s="81"/>
      <c r="F87" s="82">
        <v>850000</v>
      </c>
      <c r="G87" s="82"/>
      <c r="H87" s="82"/>
      <c r="I87" s="82">
        <v>435000</v>
      </c>
      <c r="J87" s="82"/>
      <c r="K87" s="82"/>
      <c r="L87" s="82">
        <v>670000</v>
      </c>
      <c r="M87" s="82"/>
      <c r="N87" s="82"/>
      <c r="O87" s="82">
        <v>600000</v>
      </c>
      <c r="P87" s="82"/>
      <c r="Q87" s="163">
        <f t="shared" si="58"/>
        <v>2555000</v>
      </c>
      <c r="R87" s="165" t="s">
        <v>398</v>
      </c>
      <c r="S87" s="165" t="s">
        <v>440</v>
      </c>
      <c r="T87" s="167"/>
      <c r="U87" s="182"/>
      <c r="V87" s="164" t="s">
        <v>398</v>
      </c>
      <c r="W87" s="80" t="s">
        <v>440</v>
      </c>
      <c r="X87" s="81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65">
        <f t="shared" si="73"/>
        <v>0</v>
      </c>
      <c r="AK87" s="65">
        <f t="shared" si="72"/>
        <v>0</v>
      </c>
      <c r="AL87" s="205">
        <f t="shared" si="74"/>
        <v>0</v>
      </c>
      <c r="AN87"/>
      <c r="AO87" s="216"/>
      <c r="AP87" s="216"/>
      <c r="AQ87" s="216"/>
      <c r="AR87" s="216"/>
      <c r="AS87" s="216"/>
      <c r="AT87" s="216"/>
      <c r="AU87" s="216"/>
      <c r="AV87" s="216"/>
    </row>
    <row r="88" spans="3:48" s="59" customFormat="1" ht="28.5" customHeight="1" x14ac:dyDescent="0.3">
      <c r="C88" s="66" t="s">
        <v>181</v>
      </c>
      <c r="D88" s="67" t="s">
        <v>441</v>
      </c>
      <c r="E88" s="68"/>
      <c r="F88" s="68">
        <v>2000</v>
      </c>
      <c r="G88" s="68">
        <v>2000</v>
      </c>
      <c r="H88" s="68">
        <v>2000</v>
      </c>
      <c r="I88" s="68">
        <v>2000</v>
      </c>
      <c r="J88" s="68">
        <v>2000</v>
      </c>
      <c r="K88" s="68">
        <v>2000</v>
      </c>
      <c r="L88" s="68">
        <v>2000</v>
      </c>
      <c r="M88" s="68">
        <v>2000</v>
      </c>
      <c r="N88" s="68">
        <v>2000</v>
      </c>
      <c r="O88" s="68">
        <v>2000</v>
      </c>
      <c r="P88" s="85"/>
      <c r="Q88" s="169">
        <f t="shared" si="58"/>
        <v>20000</v>
      </c>
      <c r="R88" s="175" t="s">
        <v>181</v>
      </c>
      <c r="S88" s="175" t="s">
        <v>441</v>
      </c>
      <c r="T88" s="176">
        <v>0</v>
      </c>
      <c r="U88" s="183">
        <f t="shared" ref="U88:U90" si="90">+Q88+T88</f>
        <v>20000</v>
      </c>
      <c r="V88" s="173" t="s">
        <v>181</v>
      </c>
      <c r="W88" s="130" t="s">
        <v>441</v>
      </c>
      <c r="X88" s="131">
        <f>VLOOKUP(V88,'Reporte Devengado Aprobado'!B:P,3,FALSE)</f>
        <v>8100</v>
      </c>
      <c r="Y88" s="131"/>
      <c r="Z88" s="131"/>
      <c r="AA88" s="131"/>
      <c r="AB88" s="131"/>
      <c r="AC88" s="131">
        <v>0</v>
      </c>
      <c r="AD88" s="131">
        <v>0</v>
      </c>
      <c r="AE88" s="131"/>
      <c r="AF88" s="131"/>
      <c r="AG88" s="131"/>
      <c r="AH88" s="131"/>
      <c r="AI88" s="131"/>
      <c r="AJ88" s="132">
        <f t="shared" si="73"/>
        <v>8100</v>
      </c>
      <c r="AK88" s="132">
        <f t="shared" si="72"/>
        <v>11900</v>
      </c>
      <c r="AL88" s="204">
        <f t="shared" si="74"/>
        <v>0.40500000000000003</v>
      </c>
      <c r="AN88"/>
      <c r="AO88" s="131">
        <f t="shared" ref="AO88:AO90" si="91">IFERROR(AVERAGE(X88:AD88),0)</f>
        <v>2700</v>
      </c>
      <c r="AP88" s="131">
        <f>+AO88</f>
        <v>2700</v>
      </c>
      <c r="AQ88" s="131">
        <f t="shared" ref="AQ88:AT88" si="92">+AP88</f>
        <v>2700</v>
      </c>
      <c r="AR88" s="131">
        <f t="shared" si="92"/>
        <v>2700</v>
      </c>
      <c r="AS88" s="131">
        <f t="shared" si="92"/>
        <v>2700</v>
      </c>
      <c r="AT88" s="131">
        <f t="shared" si="92"/>
        <v>2700</v>
      </c>
      <c r="AU88" s="131">
        <f t="shared" ref="AU88" si="93">SUM(AO88:AT88)</f>
        <v>16200</v>
      </c>
      <c r="AV88" s="217">
        <f t="shared" ref="AV88:AV90" si="94">+AK88-AU88</f>
        <v>-4300</v>
      </c>
    </row>
    <row r="89" spans="3:48" s="59" customFormat="1" ht="33" customHeight="1" x14ac:dyDescent="0.3">
      <c r="C89" s="66" t="s">
        <v>530</v>
      </c>
      <c r="D89" s="67" t="s">
        <v>546</v>
      </c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85"/>
      <c r="Q89" s="169">
        <f t="shared" si="58"/>
        <v>0</v>
      </c>
      <c r="R89" s="175" t="s">
        <v>530</v>
      </c>
      <c r="S89" s="175" t="s">
        <v>546</v>
      </c>
      <c r="T89" s="176">
        <v>300000</v>
      </c>
      <c r="U89" s="183">
        <f t="shared" si="90"/>
        <v>300000</v>
      </c>
      <c r="V89" s="173" t="s">
        <v>530</v>
      </c>
      <c r="W89" s="130" t="s">
        <v>546</v>
      </c>
      <c r="X89" s="131">
        <v>0</v>
      </c>
      <c r="Y89" s="131">
        <v>0</v>
      </c>
      <c r="Z89" s="131">
        <v>75708.800000000003</v>
      </c>
      <c r="AA89" s="131"/>
      <c r="AB89" s="131">
        <v>0</v>
      </c>
      <c r="AC89" s="131">
        <v>56781.599999999999</v>
      </c>
      <c r="AD89" s="131">
        <v>27140</v>
      </c>
      <c r="AE89" s="131">
        <v>55460</v>
      </c>
      <c r="AF89" s="131">
        <v>20650</v>
      </c>
      <c r="AG89" s="131"/>
      <c r="AH89" s="131"/>
      <c r="AI89" s="131"/>
      <c r="AJ89" s="132">
        <f t="shared" si="73"/>
        <v>235740.4</v>
      </c>
      <c r="AK89" s="132">
        <f t="shared" si="72"/>
        <v>64259.600000000006</v>
      </c>
      <c r="AL89" s="204">
        <f t="shared" si="74"/>
        <v>0.78580133333333335</v>
      </c>
      <c r="AN89"/>
      <c r="AO89" s="131">
        <f t="shared" si="91"/>
        <v>26605.066666666666</v>
      </c>
      <c r="AP89" s="131">
        <f>+AO89</f>
        <v>26605.066666666666</v>
      </c>
      <c r="AQ89" s="131">
        <f t="shared" ref="AQ89:AT89" si="95">+AP89</f>
        <v>26605.066666666666</v>
      </c>
      <c r="AR89" s="131">
        <f t="shared" si="95"/>
        <v>26605.066666666666</v>
      </c>
      <c r="AS89" s="131">
        <f t="shared" si="95"/>
        <v>26605.066666666666</v>
      </c>
      <c r="AT89" s="131">
        <f t="shared" si="95"/>
        <v>26605.066666666666</v>
      </c>
      <c r="AU89" s="131">
        <f t="shared" ref="AU89:AU90" si="96">SUM(AO89:AT89)</f>
        <v>159630.39999999997</v>
      </c>
      <c r="AV89" s="217">
        <f t="shared" si="94"/>
        <v>-95370.799999999959</v>
      </c>
    </row>
    <row r="90" spans="3:48" s="59" customFormat="1" ht="28.5" customHeight="1" x14ac:dyDescent="0.3">
      <c r="C90" s="66" t="s">
        <v>189</v>
      </c>
      <c r="D90" s="67" t="s">
        <v>442</v>
      </c>
      <c r="E90" s="68">
        <f>SUM(E91)</f>
        <v>0</v>
      </c>
      <c r="F90" s="68">
        <f>SUM(F91)</f>
        <v>0</v>
      </c>
      <c r="G90" s="68">
        <f>SUM(G91)</f>
        <v>0</v>
      </c>
      <c r="H90" s="68">
        <f>SUM(H91)</f>
        <v>503870</v>
      </c>
      <c r="I90" s="68">
        <f t="shared" ref="I90:P90" si="97">SUM(I91:I92)</f>
        <v>325000</v>
      </c>
      <c r="J90" s="68">
        <f t="shared" si="97"/>
        <v>0</v>
      </c>
      <c r="K90" s="68">
        <f t="shared" si="97"/>
        <v>0</v>
      </c>
      <c r="L90" s="68">
        <f t="shared" si="97"/>
        <v>565000</v>
      </c>
      <c r="M90" s="68">
        <f t="shared" si="97"/>
        <v>0</v>
      </c>
      <c r="N90" s="68">
        <f t="shared" si="97"/>
        <v>0</v>
      </c>
      <c r="O90" s="68">
        <f t="shared" si="97"/>
        <v>300000</v>
      </c>
      <c r="P90" s="68">
        <f t="shared" si="97"/>
        <v>0</v>
      </c>
      <c r="Q90" s="169">
        <f t="shared" si="58"/>
        <v>1693870</v>
      </c>
      <c r="R90" s="175" t="s">
        <v>189</v>
      </c>
      <c r="S90" s="175" t="s">
        <v>442</v>
      </c>
      <c r="T90" s="176">
        <v>-1095000</v>
      </c>
      <c r="U90" s="183">
        <f t="shared" si="90"/>
        <v>598870</v>
      </c>
      <c r="V90" s="173" t="s">
        <v>189</v>
      </c>
      <c r="W90" s="130" t="s">
        <v>442</v>
      </c>
      <c r="X90" s="131">
        <f>SUM(X91)</f>
        <v>0</v>
      </c>
      <c r="Y90" s="131">
        <f>SUM(Y91)</f>
        <v>0</v>
      </c>
      <c r="Z90" s="131">
        <f>SUM(Z91)</f>
        <v>0</v>
      </c>
      <c r="AA90" s="131">
        <f>SUM(AA91)</f>
        <v>0</v>
      </c>
      <c r="AB90" s="131">
        <f>SUM(AB91:AB92)</f>
        <v>0</v>
      </c>
      <c r="AC90" s="131">
        <v>0</v>
      </c>
      <c r="AD90" s="131">
        <v>0</v>
      </c>
      <c r="AE90" s="131">
        <f>SUM(AE91:AE92)</f>
        <v>0</v>
      </c>
      <c r="AF90" s="131">
        <f>SUM(AF91:AF92)</f>
        <v>0</v>
      </c>
      <c r="AG90" s="131">
        <f>SUM(AG91:AG92)</f>
        <v>0</v>
      </c>
      <c r="AH90" s="131">
        <f>SUM(AH91:AH92)</f>
        <v>0</v>
      </c>
      <c r="AI90" s="131">
        <f>SUM(AI91:AI92)</f>
        <v>0</v>
      </c>
      <c r="AJ90" s="132">
        <f t="shared" si="73"/>
        <v>0</v>
      </c>
      <c r="AK90" s="132">
        <f t="shared" si="72"/>
        <v>598870</v>
      </c>
      <c r="AL90" s="204">
        <f t="shared" si="74"/>
        <v>0</v>
      </c>
      <c r="AN90"/>
      <c r="AO90" s="131">
        <f t="shared" si="91"/>
        <v>0</v>
      </c>
      <c r="AP90" s="131">
        <f>+AO90</f>
        <v>0</v>
      </c>
      <c r="AQ90" s="131">
        <f t="shared" ref="AQ90:AT90" si="98">+AP90</f>
        <v>0</v>
      </c>
      <c r="AR90" s="131">
        <f t="shared" si="98"/>
        <v>0</v>
      </c>
      <c r="AS90" s="131">
        <f t="shared" si="98"/>
        <v>0</v>
      </c>
      <c r="AT90" s="131">
        <f t="shared" si="98"/>
        <v>0</v>
      </c>
      <c r="AU90" s="131">
        <f t="shared" si="96"/>
        <v>0</v>
      </c>
      <c r="AV90" s="217">
        <f t="shared" si="94"/>
        <v>598870</v>
      </c>
    </row>
    <row r="91" spans="3:48" s="83" customFormat="1" ht="28.5" customHeight="1" x14ac:dyDescent="0.25">
      <c r="C91" s="62" t="s">
        <v>394</v>
      </c>
      <c r="D91" s="80" t="s">
        <v>443</v>
      </c>
      <c r="E91" s="81"/>
      <c r="F91" s="81"/>
      <c r="G91" s="81"/>
      <c r="H91" s="82">
        <f>900000-396130</f>
        <v>503870</v>
      </c>
      <c r="I91" s="82"/>
      <c r="J91" s="81"/>
      <c r="K91" s="81"/>
      <c r="L91" s="82">
        <v>240000</v>
      </c>
      <c r="M91" s="81"/>
      <c r="N91" s="81"/>
      <c r="O91" s="81"/>
      <c r="P91" s="82"/>
      <c r="Q91" s="170">
        <f t="shared" si="58"/>
        <v>743870</v>
      </c>
      <c r="R91" s="165" t="s">
        <v>394</v>
      </c>
      <c r="S91" s="165" t="s">
        <v>443</v>
      </c>
      <c r="T91" s="177"/>
      <c r="U91" s="184"/>
      <c r="V91" s="164" t="s">
        <v>394</v>
      </c>
      <c r="W91" s="80" t="s">
        <v>443</v>
      </c>
      <c r="X91" s="81"/>
      <c r="Y91" s="81"/>
      <c r="Z91" s="81"/>
      <c r="AA91" s="82"/>
      <c r="AB91" s="82"/>
      <c r="AC91" s="81"/>
      <c r="AD91" s="81"/>
      <c r="AE91" s="82"/>
      <c r="AF91" s="81"/>
      <c r="AG91" s="81"/>
      <c r="AH91" s="81"/>
      <c r="AI91" s="82"/>
      <c r="AJ91" s="84">
        <f t="shared" si="73"/>
        <v>0</v>
      </c>
      <c r="AK91" s="84">
        <f t="shared" si="72"/>
        <v>0</v>
      </c>
      <c r="AL91" s="205">
        <f t="shared" si="74"/>
        <v>0</v>
      </c>
      <c r="AN91"/>
      <c r="AO91" s="216"/>
      <c r="AP91" s="216"/>
      <c r="AQ91" s="216"/>
      <c r="AR91" s="216"/>
      <c r="AS91" s="216"/>
      <c r="AT91" s="216"/>
      <c r="AU91" s="216"/>
      <c r="AV91" s="216"/>
    </row>
    <row r="92" spans="3:48" s="83" customFormat="1" ht="28.5" customHeight="1" x14ac:dyDescent="0.25">
      <c r="C92" s="62" t="s">
        <v>398</v>
      </c>
      <c r="D92" s="80" t="s">
        <v>444</v>
      </c>
      <c r="E92" s="81"/>
      <c r="F92" s="81"/>
      <c r="G92" s="81"/>
      <c r="H92" s="81"/>
      <c r="I92" s="82">
        <v>325000</v>
      </c>
      <c r="J92" s="81"/>
      <c r="K92" s="81"/>
      <c r="L92" s="82">
        <v>325000</v>
      </c>
      <c r="M92" s="81"/>
      <c r="N92" s="81"/>
      <c r="O92" s="82">
        <v>300000</v>
      </c>
      <c r="P92" s="82"/>
      <c r="Q92" s="170">
        <f t="shared" ref="Q92:Q126" si="99">SUM(E92:P92)</f>
        <v>950000</v>
      </c>
      <c r="R92" s="165" t="s">
        <v>398</v>
      </c>
      <c r="S92" s="165" t="s">
        <v>444</v>
      </c>
      <c r="T92" s="177"/>
      <c r="U92" s="184"/>
      <c r="V92" s="164" t="s">
        <v>398</v>
      </c>
      <c r="W92" s="80" t="s">
        <v>444</v>
      </c>
      <c r="X92" s="81"/>
      <c r="Y92" s="81"/>
      <c r="Z92" s="81"/>
      <c r="AA92" s="81"/>
      <c r="AB92" s="82"/>
      <c r="AC92" s="81"/>
      <c r="AD92" s="81"/>
      <c r="AE92" s="82"/>
      <c r="AF92" s="81"/>
      <c r="AG92" s="81"/>
      <c r="AH92" s="82"/>
      <c r="AI92" s="82"/>
      <c r="AJ92" s="84">
        <f t="shared" si="73"/>
        <v>0</v>
      </c>
      <c r="AK92" s="84">
        <f t="shared" si="72"/>
        <v>0</v>
      </c>
      <c r="AL92" s="205">
        <f t="shared" si="74"/>
        <v>0</v>
      </c>
      <c r="AN92"/>
      <c r="AO92" s="216"/>
      <c r="AP92" s="216"/>
      <c r="AQ92" s="216"/>
      <c r="AR92" s="216"/>
      <c r="AS92" s="216"/>
      <c r="AT92" s="216"/>
      <c r="AU92" s="216"/>
      <c r="AV92" s="216"/>
    </row>
    <row r="93" spans="3:48" s="59" customFormat="1" ht="28.5" customHeight="1" x14ac:dyDescent="0.3">
      <c r="C93" s="66" t="s">
        <v>542</v>
      </c>
      <c r="D93" s="67" t="s">
        <v>372</v>
      </c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85"/>
      <c r="Q93" s="169">
        <f t="shared" si="99"/>
        <v>0</v>
      </c>
      <c r="R93" s="175" t="s">
        <v>542</v>
      </c>
      <c r="S93" s="175" t="s">
        <v>372</v>
      </c>
      <c r="T93" s="176">
        <v>9414965.0399999991</v>
      </c>
      <c r="U93" s="183">
        <f t="shared" ref="U93:U106" si="100">+Q93+T93</f>
        <v>9414965.0399999991</v>
      </c>
      <c r="V93" s="173" t="str">
        <f>+C93</f>
        <v>2.2.5.9.01</v>
      </c>
      <c r="W93" s="129" t="str">
        <f>+D93</f>
        <v>Licencias Informaticas</v>
      </c>
      <c r="X93" s="131"/>
      <c r="Y93" s="131"/>
      <c r="Z93" s="131">
        <v>357034.96</v>
      </c>
      <c r="AA93" s="131"/>
      <c r="AB93" s="131">
        <v>3443585.42</v>
      </c>
      <c r="AC93" s="131">
        <v>155239.5</v>
      </c>
      <c r="AD93" s="131">
        <v>0</v>
      </c>
      <c r="AE93" s="131">
        <v>41454.11</v>
      </c>
      <c r="AF93" s="131">
        <v>2199193.46</v>
      </c>
      <c r="AG93" s="131"/>
      <c r="AH93" s="131"/>
      <c r="AI93" s="131"/>
      <c r="AJ93" s="132">
        <f t="shared" si="73"/>
        <v>6196507.4499999993</v>
      </c>
      <c r="AK93" s="200">
        <f t="shared" si="72"/>
        <v>3218457.59</v>
      </c>
      <c r="AL93" s="204">
        <f t="shared" si="74"/>
        <v>0.65815512045703783</v>
      </c>
      <c r="AN93"/>
      <c r="AO93" s="131">
        <f t="shared" ref="AO93:AO105" si="101">IFERROR(AVERAGE(X93:AD93),0)</f>
        <v>988964.97</v>
      </c>
      <c r="AP93" s="131">
        <f>+AO93</f>
        <v>988964.97</v>
      </c>
      <c r="AQ93" s="131">
        <f t="shared" ref="AQ93:AT93" si="102">+AP93</f>
        <v>988964.97</v>
      </c>
      <c r="AR93" s="131">
        <f t="shared" si="102"/>
        <v>988964.97</v>
      </c>
      <c r="AS93" s="131">
        <f t="shared" si="102"/>
        <v>988964.97</v>
      </c>
      <c r="AT93" s="131">
        <f t="shared" si="102"/>
        <v>988964.97</v>
      </c>
      <c r="AU93" s="131">
        <f t="shared" ref="AU93:AU105" si="103">SUM(AO93:AT93)</f>
        <v>5933789.8199999994</v>
      </c>
      <c r="AV93" s="217">
        <f t="shared" ref="AV93:AV106" si="104">+AK93-AU93</f>
        <v>-2715332.2299999995</v>
      </c>
    </row>
    <row r="94" spans="3:48" s="59" customFormat="1" ht="42" customHeight="1" x14ac:dyDescent="0.3">
      <c r="C94" s="66" t="s">
        <v>193</v>
      </c>
      <c r="D94" s="67" t="s">
        <v>445</v>
      </c>
      <c r="E94" s="68">
        <f t="shared" ref="E94:P94" si="105">700000/12</f>
        <v>58333.333333333336</v>
      </c>
      <c r="F94" s="68">
        <f t="shared" si="105"/>
        <v>58333.333333333336</v>
      </c>
      <c r="G94" s="68">
        <f t="shared" si="105"/>
        <v>58333.333333333336</v>
      </c>
      <c r="H94" s="68">
        <f t="shared" si="105"/>
        <v>58333.333333333336</v>
      </c>
      <c r="I94" s="68">
        <f t="shared" si="105"/>
        <v>58333.333333333336</v>
      </c>
      <c r="J94" s="68">
        <f t="shared" si="105"/>
        <v>58333.333333333336</v>
      </c>
      <c r="K94" s="68">
        <f t="shared" si="105"/>
        <v>58333.333333333336</v>
      </c>
      <c r="L94" s="68">
        <f t="shared" si="105"/>
        <v>58333.333333333336</v>
      </c>
      <c r="M94" s="68">
        <f t="shared" si="105"/>
        <v>58333.333333333336</v>
      </c>
      <c r="N94" s="68">
        <f t="shared" si="105"/>
        <v>58333.333333333336</v>
      </c>
      <c r="O94" s="68">
        <f t="shared" si="105"/>
        <v>58333.333333333336</v>
      </c>
      <c r="P94" s="68">
        <f t="shared" si="105"/>
        <v>58333.333333333336</v>
      </c>
      <c r="Q94" s="169">
        <f t="shared" si="99"/>
        <v>700000.00000000012</v>
      </c>
      <c r="R94" s="175" t="s">
        <v>193</v>
      </c>
      <c r="S94" s="175" t="s">
        <v>445</v>
      </c>
      <c r="T94" s="176">
        <v>0</v>
      </c>
      <c r="U94" s="183">
        <f t="shared" si="100"/>
        <v>700000.00000000012</v>
      </c>
      <c r="V94" s="173" t="s">
        <v>193</v>
      </c>
      <c r="W94" s="130" t="s">
        <v>445</v>
      </c>
      <c r="X94" s="131">
        <f>VLOOKUP(V94,'Reporte Devengado Aprobado'!B:P,3,FALSE)</f>
        <v>0</v>
      </c>
      <c r="Y94" s="131">
        <v>324797.74</v>
      </c>
      <c r="Z94" s="131"/>
      <c r="AA94" s="131"/>
      <c r="AB94" s="131">
        <v>0</v>
      </c>
      <c r="AC94" s="131">
        <v>0</v>
      </c>
      <c r="AD94" s="131">
        <v>0</v>
      </c>
      <c r="AE94" s="131"/>
      <c r="AF94" s="131"/>
      <c r="AG94" s="131"/>
      <c r="AH94" s="131"/>
      <c r="AI94" s="131"/>
      <c r="AJ94" s="132">
        <f t="shared" si="73"/>
        <v>324797.74</v>
      </c>
      <c r="AK94" s="132">
        <f t="shared" si="72"/>
        <v>375202.26000000013</v>
      </c>
      <c r="AL94" s="204">
        <f t="shared" si="74"/>
        <v>0.46399677142857132</v>
      </c>
      <c r="AN94"/>
      <c r="AO94" s="131">
        <f>+Y94</f>
        <v>324797.74</v>
      </c>
      <c r="AP94" s="131">
        <v>0</v>
      </c>
      <c r="AQ94" s="131">
        <f t="shared" ref="AQ94" si="106">+AP94*$AO$6</f>
        <v>0</v>
      </c>
      <c r="AR94" s="131">
        <f t="shared" ref="AR94" si="107">+AQ94*$AO$6</f>
        <v>0</v>
      </c>
      <c r="AS94" s="131">
        <f t="shared" ref="AS94" si="108">+AR94*$AO$6</f>
        <v>0</v>
      </c>
      <c r="AT94" s="131">
        <f t="shared" ref="AT94" si="109">+AS94*$AO$6</f>
        <v>0</v>
      </c>
      <c r="AU94" s="131">
        <f t="shared" si="103"/>
        <v>324797.74</v>
      </c>
      <c r="AV94" s="217">
        <f t="shared" si="104"/>
        <v>50404.520000000135</v>
      </c>
    </row>
    <row r="95" spans="3:48" s="59" customFormat="1" ht="28.5" customHeight="1" x14ac:dyDescent="0.3">
      <c r="C95" s="66" t="s">
        <v>197</v>
      </c>
      <c r="D95" s="67" t="s">
        <v>446</v>
      </c>
      <c r="E95" s="68">
        <v>225000</v>
      </c>
      <c r="F95" s="68">
        <v>225000</v>
      </c>
      <c r="G95" s="68">
        <v>225000</v>
      </c>
      <c r="H95" s="68">
        <v>225000</v>
      </c>
      <c r="I95" s="68">
        <v>225000</v>
      </c>
      <c r="J95" s="68">
        <v>225000</v>
      </c>
      <c r="K95" s="68">
        <v>225000</v>
      </c>
      <c r="L95" s="68">
        <v>225000</v>
      </c>
      <c r="M95" s="68">
        <v>225000</v>
      </c>
      <c r="N95" s="68">
        <v>225000</v>
      </c>
      <c r="O95" s="68">
        <v>225000</v>
      </c>
      <c r="P95" s="68">
        <v>225000</v>
      </c>
      <c r="Q95" s="169">
        <f t="shared" si="99"/>
        <v>2700000</v>
      </c>
      <c r="R95" s="175" t="s">
        <v>197</v>
      </c>
      <c r="S95" s="175" t="s">
        <v>446</v>
      </c>
      <c r="T95" s="176">
        <v>0</v>
      </c>
      <c r="U95" s="183">
        <f t="shared" si="100"/>
        <v>2700000</v>
      </c>
      <c r="V95" s="173" t="s">
        <v>197</v>
      </c>
      <c r="W95" s="130" t="s">
        <v>446</v>
      </c>
      <c r="X95" s="131">
        <f>VLOOKUP(V95,'Reporte Devengado Aprobado'!B:P,3,FALSE)</f>
        <v>129520.05</v>
      </c>
      <c r="Y95" s="131">
        <v>140153.01999999999</v>
      </c>
      <c r="Z95" s="131">
        <v>198654.48</v>
      </c>
      <c r="AA95" s="131">
        <v>161121.01999999999</v>
      </c>
      <c r="AB95" s="131">
        <v>194814.77</v>
      </c>
      <c r="AC95" s="131">
        <v>204911.74</v>
      </c>
      <c r="AD95" s="131">
        <v>183745.84</v>
      </c>
      <c r="AE95" s="131">
        <v>187489</v>
      </c>
      <c r="AF95" s="131">
        <v>194180.29</v>
      </c>
      <c r="AG95" s="131"/>
      <c r="AH95" s="131"/>
      <c r="AI95" s="131"/>
      <c r="AJ95" s="132">
        <f t="shared" si="73"/>
        <v>1594590.2100000002</v>
      </c>
      <c r="AK95" s="132">
        <f t="shared" si="72"/>
        <v>1105409.7899999998</v>
      </c>
      <c r="AL95" s="204">
        <f t="shared" si="74"/>
        <v>0.59058896666666671</v>
      </c>
      <c r="AN95"/>
      <c r="AO95" s="131">
        <f t="shared" si="101"/>
        <v>173274.41714285716</v>
      </c>
      <c r="AP95" s="131">
        <f t="shared" ref="AP95:AP105" si="110">+AO95</f>
        <v>173274.41714285716</v>
      </c>
      <c r="AQ95" s="131">
        <f t="shared" ref="AQ95:AT95" si="111">+AP95</f>
        <v>173274.41714285716</v>
      </c>
      <c r="AR95" s="131">
        <f t="shared" si="111"/>
        <v>173274.41714285716</v>
      </c>
      <c r="AS95" s="131">
        <f t="shared" si="111"/>
        <v>173274.41714285716</v>
      </c>
      <c r="AT95" s="131">
        <f t="shared" si="111"/>
        <v>173274.41714285716</v>
      </c>
      <c r="AU95" s="131">
        <f t="shared" si="103"/>
        <v>1039646.5028571428</v>
      </c>
      <c r="AV95" s="217">
        <f t="shared" si="104"/>
        <v>65763.287142856978</v>
      </c>
    </row>
    <row r="96" spans="3:48" s="59" customFormat="1" ht="28.5" customHeight="1" x14ac:dyDescent="0.3">
      <c r="C96" s="66" t="s">
        <v>197</v>
      </c>
      <c r="D96" s="67" t="s">
        <v>447</v>
      </c>
      <c r="E96" s="68"/>
      <c r="F96" s="68"/>
      <c r="G96" s="68"/>
      <c r="H96" s="68">
        <v>494000</v>
      </c>
      <c r="I96" s="68"/>
      <c r="J96" s="68"/>
      <c r="K96" s="68"/>
      <c r="L96" s="68"/>
      <c r="M96" s="68"/>
      <c r="N96" s="68"/>
      <c r="O96" s="68"/>
      <c r="P96" s="68"/>
      <c r="Q96" s="169">
        <f t="shared" si="99"/>
        <v>494000</v>
      </c>
      <c r="R96" s="175" t="s">
        <v>197</v>
      </c>
      <c r="S96" s="175" t="s">
        <v>447</v>
      </c>
      <c r="T96" s="176">
        <v>0</v>
      </c>
      <c r="U96" s="183">
        <f t="shared" si="100"/>
        <v>494000</v>
      </c>
      <c r="V96" s="173" t="s">
        <v>197</v>
      </c>
      <c r="W96" s="130" t="s">
        <v>447</v>
      </c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2">
        <f t="shared" si="73"/>
        <v>0</v>
      </c>
      <c r="AK96" s="132">
        <f t="shared" si="72"/>
        <v>494000</v>
      </c>
      <c r="AL96" s="204">
        <f t="shared" si="74"/>
        <v>0</v>
      </c>
      <c r="AN96"/>
      <c r="AO96" s="131">
        <f t="shared" si="101"/>
        <v>0</v>
      </c>
      <c r="AP96" s="131">
        <f t="shared" si="110"/>
        <v>0</v>
      </c>
      <c r="AQ96" s="131">
        <f t="shared" ref="AQ96:AT96" si="112">+AP96</f>
        <v>0</v>
      </c>
      <c r="AR96" s="131">
        <f t="shared" si="112"/>
        <v>0</v>
      </c>
      <c r="AS96" s="131">
        <f t="shared" si="112"/>
        <v>0</v>
      </c>
      <c r="AT96" s="131">
        <f t="shared" si="112"/>
        <v>0</v>
      </c>
      <c r="AU96" s="131">
        <f t="shared" si="103"/>
        <v>0</v>
      </c>
      <c r="AV96" s="217">
        <f t="shared" si="104"/>
        <v>494000</v>
      </c>
    </row>
    <row r="97" spans="3:48" s="59" customFormat="1" ht="35.25" customHeight="1" x14ac:dyDescent="0.3">
      <c r="C97" s="66" t="s">
        <v>203</v>
      </c>
      <c r="D97" s="67" t="s">
        <v>448</v>
      </c>
      <c r="E97" s="68"/>
      <c r="F97" s="68"/>
      <c r="G97" s="68">
        <v>125000</v>
      </c>
      <c r="H97" s="68"/>
      <c r="I97" s="68"/>
      <c r="J97" s="68"/>
      <c r="K97" s="68"/>
      <c r="L97" s="68">
        <v>90000</v>
      </c>
      <c r="M97" s="68"/>
      <c r="N97" s="68"/>
      <c r="O97" s="68"/>
      <c r="P97" s="68"/>
      <c r="Q97" s="169">
        <f t="shared" si="99"/>
        <v>215000</v>
      </c>
      <c r="R97" s="175" t="s">
        <v>203</v>
      </c>
      <c r="S97" s="175" t="s">
        <v>448</v>
      </c>
      <c r="T97" s="176">
        <v>661200</v>
      </c>
      <c r="U97" s="183">
        <f t="shared" si="100"/>
        <v>876200</v>
      </c>
      <c r="V97" s="173" t="s">
        <v>203</v>
      </c>
      <c r="W97" s="130" t="s">
        <v>448</v>
      </c>
      <c r="X97" s="131">
        <f>VLOOKUP(V97,'Reporte Devengado Aprobado'!B:P,3,FALSE)</f>
        <v>0</v>
      </c>
      <c r="Y97" s="131">
        <v>973.5</v>
      </c>
      <c r="Z97" s="131">
        <v>3758.3</v>
      </c>
      <c r="AA97" s="131">
        <v>154925.35</v>
      </c>
      <c r="AB97" s="131">
        <v>0</v>
      </c>
      <c r="AC97" s="131">
        <v>9600</v>
      </c>
      <c r="AD97" s="131">
        <v>70408.52</v>
      </c>
      <c r="AE97" s="131">
        <v>40103.83</v>
      </c>
      <c r="AF97" s="131">
        <v>15911.4</v>
      </c>
      <c r="AG97" s="131"/>
      <c r="AH97" s="131"/>
      <c r="AI97" s="131"/>
      <c r="AJ97" s="132">
        <f t="shared" si="73"/>
        <v>295680.90000000002</v>
      </c>
      <c r="AK97" s="132">
        <f t="shared" si="72"/>
        <v>580519.1</v>
      </c>
      <c r="AL97" s="204">
        <f t="shared" si="74"/>
        <v>0.33745822871490527</v>
      </c>
      <c r="AN97"/>
      <c r="AO97" s="131">
        <f t="shared" si="101"/>
        <v>34237.952857142853</v>
      </c>
      <c r="AP97" s="131">
        <f t="shared" si="110"/>
        <v>34237.952857142853</v>
      </c>
      <c r="AQ97" s="131">
        <f t="shared" ref="AQ97:AT97" si="113">+AP97</f>
        <v>34237.952857142853</v>
      </c>
      <c r="AR97" s="131">
        <f t="shared" si="113"/>
        <v>34237.952857142853</v>
      </c>
      <c r="AS97" s="131">
        <f t="shared" si="113"/>
        <v>34237.952857142853</v>
      </c>
      <c r="AT97" s="131">
        <f t="shared" si="113"/>
        <v>34237.952857142853</v>
      </c>
      <c r="AU97" s="131">
        <f t="shared" si="103"/>
        <v>205427.71714285709</v>
      </c>
      <c r="AV97" s="217">
        <f t="shared" si="104"/>
        <v>375091.38285714289</v>
      </c>
    </row>
    <row r="98" spans="3:48" s="59" customFormat="1" ht="35.25" customHeight="1" x14ac:dyDescent="0.3">
      <c r="C98" s="66" t="s">
        <v>598</v>
      </c>
      <c r="D98" s="67" t="s">
        <v>599</v>
      </c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169"/>
      <c r="R98" s="175" t="s">
        <v>598</v>
      </c>
      <c r="S98" s="175" t="s">
        <v>599</v>
      </c>
      <c r="T98" s="176">
        <v>50000</v>
      </c>
      <c r="U98" s="183">
        <f t="shared" si="100"/>
        <v>50000</v>
      </c>
      <c r="V98" s="173" t="s">
        <v>598</v>
      </c>
      <c r="W98" s="130" t="s">
        <v>599</v>
      </c>
      <c r="X98" s="131"/>
      <c r="Y98" s="131"/>
      <c r="Z98" s="131"/>
      <c r="AA98" s="131"/>
      <c r="AB98" s="131"/>
      <c r="AC98" s="131"/>
      <c r="AD98" s="131"/>
      <c r="AE98" s="131">
        <v>19942</v>
      </c>
      <c r="AF98" s="131"/>
      <c r="AG98" s="131"/>
      <c r="AH98" s="131"/>
      <c r="AI98" s="131"/>
      <c r="AJ98" s="132">
        <f t="shared" si="73"/>
        <v>19942</v>
      </c>
      <c r="AK98" s="132"/>
      <c r="AL98" s="204"/>
      <c r="AN98"/>
      <c r="AO98" s="131"/>
      <c r="AP98" s="131"/>
      <c r="AQ98" s="131"/>
      <c r="AR98" s="131"/>
      <c r="AS98" s="131"/>
      <c r="AT98" s="131"/>
      <c r="AU98" s="131"/>
      <c r="AV98" s="217"/>
    </row>
    <row r="99" spans="3:48" s="59" customFormat="1" ht="35.25" customHeight="1" x14ac:dyDescent="0.3">
      <c r="C99" s="66" t="s">
        <v>201</v>
      </c>
      <c r="D99" s="67" t="s">
        <v>449</v>
      </c>
      <c r="E99" s="68"/>
      <c r="F99" s="68">
        <v>98000</v>
      </c>
      <c r="G99" s="68"/>
      <c r="H99" s="68"/>
      <c r="I99" s="68"/>
      <c r="J99" s="68"/>
      <c r="K99" s="68">
        <v>45000</v>
      </c>
      <c r="L99" s="68"/>
      <c r="M99" s="68"/>
      <c r="N99" s="68"/>
      <c r="O99" s="68"/>
      <c r="P99" s="68"/>
      <c r="Q99" s="169">
        <f t="shared" si="99"/>
        <v>143000</v>
      </c>
      <c r="R99" s="175" t="s">
        <v>201</v>
      </c>
      <c r="S99" s="175" t="s">
        <v>449</v>
      </c>
      <c r="T99" s="176">
        <v>0</v>
      </c>
      <c r="U99" s="183">
        <f t="shared" si="100"/>
        <v>143000</v>
      </c>
      <c r="V99" s="173" t="s">
        <v>201</v>
      </c>
      <c r="W99" s="130" t="s">
        <v>449</v>
      </c>
      <c r="X99" s="131">
        <f>VLOOKUP(V99,'Reporte Devengado Aprobado'!B:P,3,FALSE)</f>
        <v>0</v>
      </c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2">
        <f t="shared" si="73"/>
        <v>0</v>
      </c>
      <c r="AK99" s="132">
        <f t="shared" si="72"/>
        <v>143000</v>
      </c>
      <c r="AL99" s="204">
        <f t="shared" si="74"/>
        <v>0</v>
      </c>
      <c r="AN99"/>
      <c r="AO99" s="131">
        <f t="shared" si="101"/>
        <v>0</v>
      </c>
      <c r="AP99" s="131">
        <f t="shared" si="110"/>
        <v>0</v>
      </c>
      <c r="AQ99" s="131">
        <f t="shared" ref="AQ99:AT99" si="114">+AP99</f>
        <v>0</v>
      </c>
      <c r="AR99" s="131">
        <f t="shared" si="114"/>
        <v>0</v>
      </c>
      <c r="AS99" s="131">
        <f t="shared" si="114"/>
        <v>0</v>
      </c>
      <c r="AT99" s="131">
        <f t="shared" si="114"/>
        <v>0</v>
      </c>
      <c r="AU99" s="131">
        <f t="shared" si="103"/>
        <v>0</v>
      </c>
      <c r="AV99" s="217">
        <f t="shared" si="104"/>
        <v>143000</v>
      </c>
    </row>
    <row r="100" spans="3:48" s="59" customFormat="1" ht="35.25" customHeight="1" x14ac:dyDescent="0.3">
      <c r="C100" s="66" t="s">
        <v>574</v>
      </c>
      <c r="D100" s="67" t="s">
        <v>575</v>
      </c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169">
        <f t="shared" si="99"/>
        <v>0</v>
      </c>
      <c r="R100" s="175" t="s">
        <v>574</v>
      </c>
      <c r="S100" s="175" t="s">
        <v>575</v>
      </c>
      <c r="T100" s="176">
        <v>120000</v>
      </c>
      <c r="U100" s="183">
        <f t="shared" si="100"/>
        <v>120000</v>
      </c>
      <c r="V100" s="173" t="s">
        <v>574</v>
      </c>
      <c r="W100" s="130" t="s">
        <v>575</v>
      </c>
      <c r="X100" s="131"/>
      <c r="Y100" s="131"/>
      <c r="Z100" s="131"/>
      <c r="AA100" s="131"/>
      <c r="AB100" s="131">
        <v>0</v>
      </c>
      <c r="AC100" s="131">
        <v>0</v>
      </c>
      <c r="AD100" s="131">
        <v>0</v>
      </c>
      <c r="AE100" s="131"/>
      <c r="AF100" s="131">
        <v>66048</v>
      </c>
      <c r="AG100" s="131"/>
      <c r="AH100" s="131"/>
      <c r="AI100" s="131"/>
      <c r="AJ100" s="132">
        <f t="shared" si="73"/>
        <v>66048</v>
      </c>
      <c r="AK100" s="132">
        <f t="shared" si="72"/>
        <v>53952</v>
      </c>
      <c r="AL100" s="204">
        <f t="shared" si="74"/>
        <v>0.5504</v>
      </c>
      <c r="AN100"/>
      <c r="AO100" s="131">
        <f t="shared" si="101"/>
        <v>0</v>
      </c>
      <c r="AP100" s="131">
        <f t="shared" si="110"/>
        <v>0</v>
      </c>
      <c r="AQ100" s="131">
        <f t="shared" ref="AQ100:AT100" si="115">+AP100</f>
        <v>0</v>
      </c>
      <c r="AR100" s="131">
        <f t="shared" si="115"/>
        <v>0</v>
      </c>
      <c r="AS100" s="131">
        <f t="shared" si="115"/>
        <v>0</v>
      </c>
      <c r="AT100" s="131">
        <f t="shared" si="115"/>
        <v>0</v>
      </c>
      <c r="AU100" s="131">
        <f t="shared" si="103"/>
        <v>0</v>
      </c>
      <c r="AV100" s="217">
        <f t="shared" si="104"/>
        <v>53952</v>
      </c>
    </row>
    <row r="101" spans="3:48" s="59" customFormat="1" ht="30" x14ac:dyDescent="0.3">
      <c r="C101" s="66" t="s">
        <v>450</v>
      </c>
      <c r="D101" s="67" t="s">
        <v>451</v>
      </c>
      <c r="E101" s="75"/>
      <c r="F101" s="75"/>
      <c r="G101" s="75">
        <v>65000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169">
        <f t="shared" si="99"/>
        <v>65000</v>
      </c>
      <c r="R101" s="175" t="s">
        <v>450</v>
      </c>
      <c r="S101" s="175" t="s">
        <v>451</v>
      </c>
      <c r="T101" s="176">
        <v>0</v>
      </c>
      <c r="U101" s="183">
        <f t="shared" si="100"/>
        <v>65000</v>
      </c>
      <c r="V101" s="173" t="s">
        <v>450</v>
      </c>
      <c r="W101" s="130" t="s">
        <v>451</v>
      </c>
      <c r="X101" s="131"/>
      <c r="Y101" s="131"/>
      <c r="Z101" s="131"/>
      <c r="AA101" s="131"/>
      <c r="AB101" s="131"/>
      <c r="AC101" s="131">
        <v>0</v>
      </c>
      <c r="AD101" s="131">
        <v>0</v>
      </c>
      <c r="AE101" s="131"/>
      <c r="AF101" s="131"/>
      <c r="AG101" s="131"/>
      <c r="AH101" s="131"/>
      <c r="AI101" s="131"/>
      <c r="AJ101" s="132">
        <f t="shared" si="73"/>
        <v>0</v>
      </c>
      <c r="AK101" s="132">
        <f t="shared" si="72"/>
        <v>65000</v>
      </c>
      <c r="AL101" s="204">
        <f t="shared" si="74"/>
        <v>0</v>
      </c>
      <c r="AN101"/>
      <c r="AO101" s="131">
        <f t="shared" si="101"/>
        <v>0</v>
      </c>
      <c r="AP101" s="131">
        <f t="shared" si="110"/>
        <v>0</v>
      </c>
      <c r="AQ101" s="131">
        <f t="shared" ref="AQ101:AT102" si="116">+AP101</f>
        <v>0</v>
      </c>
      <c r="AR101" s="131">
        <f t="shared" si="116"/>
        <v>0</v>
      </c>
      <c r="AS101" s="131">
        <f t="shared" si="116"/>
        <v>0</v>
      </c>
      <c r="AT101" s="131">
        <f t="shared" si="116"/>
        <v>0</v>
      </c>
      <c r="AU101" s="131">
        <f t="shared" si="103"/>
        <v>0</v>
      </c>
      <c r="AV101" s="217">
        <f t="shared" si="104"/>
        <v>65000</v>
      </c>
    </row>
    <row r="102" spans="3:48" s="59" customFormat="1" ht="18.75" x14ac:dyDescent="0.3">
      <c r="C102" s="66"/>
      <c r="D102" s="67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169"/>
      <c r="R102" s="175" t="s">
        <v>602</v>
      </c>
      <c r="S102" s="175" t="s">
        <v>603</v>
      </c>
      <c r="T102" s="218">
        <v>5000</v>
      </c>
      <c r="U102" s="183">
        <f t="shared" si="100"/>
        <v>5000</v>
      </c>
      <c r="V102" s="173" t="s">
        <v>602</v>
      </c>
      <c r="W102" s="130" t="s">
        <v>603</v>
      </c>
      <c r="X102" s="131"/>
      <c r="Y102" s="131"/>
      <c r="Z102" s="131"/>
      <c r="AA102" s="131"/>
      <c r="AB102" s="131"/>
      <c r="AC102" s="131"/>
      <c r="AD102" s="131"/>
      <c r="AE102" s="131"/>
      <c r="AF102" s="131">
        <v>1702.55</v>
      </c>
      <c r="AG102" s="131"/>
      <c r="AH102" s="131"/>
      <c r="AI102" s="131"/>
      <c r="AJ102" s="132">
        <f t="shared" si="73"/>
        <v>1702.55</v>
      </c>
      <c r="AK102" s="132">
        <f t="shared" si="72"/>
        <v>3297.45</v>
      </c>
      <c r="AL102" s="204"/>
      <c r="AN102"/>
      <c r="AO102" s="131">
        <f t="shared" si="101"/>
        <v>0</v>
      </c>
      <c r="AP102" s="131">
        <f t="shared" si="110"/>
        <v>0</v>
      </c>
      <c r="AQ102" s="131">
        <f t="shared" si="116"/>
        <v>0</v>
      </c>
      <c r="AR102" s="131">
        <f t="shared" si="116"/>
        <v>0</v>
      </c>
      <c r="AS102" s="131">
        <f t="shared" si="116"/>
        <v>0</v>
      </c>
      <c r="AT102" s="131">
        <f t="shared" si="116"/>
        <v>0</v>
      </c>
      <c r="AU102" s="131">
        <f t="shared" ref="AU102" si="117">+AT102</f>
        <v>0</v>
      </c>
      <c r="AV102" s="217">
        <f t="shared" si="104"/>
        <v>3297.45</v>
      </c>
    </row>
    <row r="103" spans="3:48" s="59" customFormat="1" ht="30" x14ac:dyDescent="0.3">
      <c r="C103" s="66" t="s">
        <v>210</v>
      </c>
      <c r="D103" s="67" t="s">
        <v>209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169">
        <f t="shared" si="99"/>
        <v>0</v>
      </c>
      <c r="R103" s="175" t="s">
        <v>210</v>
      </c>
      <c r="S103" s="175" t="s">
        <v>209</v>
      </c>
      <c r="T103" s="176">
        <v>550000</v>
      </c>
      <c r="U103" s="183">
        <f t="shared" si="100"/>
        <v>550000</v>
      </c>
      <c r="V103" s="173" t="s">
        <v>210</v>
      </c>
      <c r="W103" s="130" t="s">
        <v>209</v>
      </c>
      <c r="X103" s="131"/>
      <c r="Y103" s="131">
        <v>1755</v>
      </c>
      <c r="Z103" s="131">
        <v>85820</v>
      </c>
      <c r="AA103" s="131">
        <v>12160</v>
      </c>
      <c r="AB103" s="131">
        <v>8080</v>
      </c>
      <c r="AC103" s="131">
        <v>30200</v>
      </c>
      <c r="AD103" s="131">
        <v>27800</v>
      </c>
      <c r="AE103" s="131">
        <v>5600</v>
      </c>
      <c r="AF103" s="131">
        <v>2800</v>
      </c>
      <c r="AG103" s="131"/>
      <c r="AH103" s="131"/>
      <c r="AI103" s="131"/>
      <c r="AJ103" s="132">
        <f t="shared" si="73"/>
        <v>174215</v>
      </c>
      <c r="AK103" s="132">
        <f t="shared" si="72"/>
        <v>375785</v>
      </c>
      <c r="AL103" s="204">
        <f t="shared" si="74"/>
        <v>0.31675454545454546</v>
      </c>
      <c r="AN103"/>
      <c r="AO103" s="131">
        <f t="shared" si="101"/>
        <v>27635.833333333332</v>
      </c>
      <c r="AP103" s="131">
        <f t="shared" si="110"/>
        <v>27635.833333333332</v>
      </c>
      <c r="AQ103" s="131">
        <f t="shared" ref="AQ103:AT104" si="118">+AP103</f>
        <v>27635.833333333332</v>
      </c>
      <c r="AR103" s="131">
        <f t="shared" si="118"/>
        <v>27635.833333333332</v>
      </c>
      <c r="AS103" s="131">
        <f t="shared" si="118"/>
        <v>27635.833333333332</v>
      </c>
      <c r="AT103" s="131">
        <f t="shared" si="118"/>
        <v>27635.833333333332</v>
      </c>
      <c r="AU103" s="131">
        <f t="shared" si="103"/>
        <v>165815</v>
      </c>
      <c r="AV103" s="217">
        <f t="shared" si="104"/>
        <v>209970</v>
      </c>
    </row>
    <row r="104" spans="3:48" s="59" customFormat="1" ht="33" customHeight="1" x14ac:dyDescent="0.3">
      <c r="C104" s="66" t="s">
        <v>576</v>
      </c>
      <c r="D104" s="67" t="s">
        <v>577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169">
        <f t="shared" si="99"/>
        <v>0</v>
      </c>
      <c r="R104" s="175" t="s">
        <v>576</v>
      </c>
      <c r="S104" s="175" t="s">
        <v>577</v>
      </c>
      <c r="T104" s="176">
        <v>450000</v>
      </c>
      <c r="U104" s="183">
        <f t="shared" si="100"/>
        <v>450000</v>
      </c>
      <c r="V104" s="173" t="s">
        <v>576</v>
      </c>
      <c r="W104" s="130" t="s">
        <v>577</v>
      </c>
      <c r="X104" s="131"/>
      <c r="Y104" s="131"/>
      <c r="Z104" s="131"/>
      <c r="AA104" s="131"/>
      <c r="AB104" s="131">
        <v>0</v>
      </c>
      <c r="AC104" s="131">
        <v>0</v>
      </c>
      <c r="AD104" s="131">
        <v>0</v>
      </c>
      <c r="AE104" s="131"/>
      <c r="AF104" s="131"/>
      <c r="AG104" s="131"/>
      <c r="AH104" s="131"/>
      <c r="AI104" s="131"/>
      <c r="AJ104" s="132">
        <f t="shared" si="73"/>
        <v>0</v>
      </c>
      <c r="AK104" s="132">
        <f t="shared" si="72"/>
        <v>450000</v>
      </c>
      <c r="AL104" s="204">
        <f t="shared" si="74"/>
        <v>0</v>
      </c>
      <c r="AN104"/>
      <c r="AO104" s="131">
        <f t="shared" si="101"/>
        <v>0</v>
      </c>
      <c r="AP104" s="131">
        <f t="shared" si="110"/>
        <v>0</v>
      </c>
      <c r="AQ104" s="131">
        <f>+AK104</f>
        <v>450000</v>
      </c>
      <c r="AR104" s="131"/>
      <c r="AS104" s="131">
        <f t="shared" si="118"/>
        <v>0</v>
      </c>
      <c r="AT104" s="131">
        <f t="shared" si="118"/>
        <v>0</v>
      </c>
      <c r="AU104" s="131">
        <f t="shared" si="103"/>
        <v>450000</v>
      </c>
      <c r="AV104" s="217">
        <f t="shared" si="104"/>
        <v>0</v>
      </c>
    </row>
    <row r="105" spans="3:48" s="59" customFormat="1" ht="33" customHeight="1" x14ac:dyDescent="0.3">
      <c r="C105" s="66" t="s">
        <v>213</v>
      </c>
      <c r="D105" s="67" t="s">
        <v>214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169">
        <f t="shared" si="99"/>
        <v>0</v>
      </c>
      <c r="R105" s="175" t="s">
        <v>213</v>
      </c>
      <c r="S105" s="175" t="s">
        <v>214</v>
      </c>
      <c r="T105" s="176">
        <v>200000</v>
      </c>
      <c r="U105" s="183">
        <f t="shared" si="100"/>
        <v>200000</v>
      </c>
      <c r="V105" s="173" t="s">
        <v>213</v>
      </c>
      <c r="W105" s="130" t="s">
        <v>214</v>
      </c>
      <c r="X105" s="131"/>
      <c r="Y105" s="131"/>
      <c r="Z105" s="131"/>
      <c r="AA105" s="131"/>
      <c r="AB105" s="131">
        <v>0</v>
      </c>
      <c r="AC105" s="131">
        <v>0</v>
      </c>
      <c r="AD105" s="131">
        <v>0</v>
      </c>
      <c r="AE105" s="131"/>
      <c r="AF105" s="131">
        <v>213344</v>
      </c>
      <c r="AG105" s="131"/>
      <c r="AH105" s="131"/>
      <c r="AI105" s="131"/>
      <c r="AJ105" s="132">
        <f t="shared" si="73"/>
        <v>213344</v>
      </c>
      <c r="AK105" s="132">
        <f t="shared" si="72"/>
        <v>-13344</v>
      </c>
      <c r="AL105" s="204">
        <f t="shared" si="74"/>
        <v>1.0667199999999999</v>
      </c>
      <c r="AN105"/>
      <c r="AO105" s="131">
        <f t="shared" si="101"/>
        <v>0</v>
      </c>
      <c r="AP105" s="131">
        <f t="shared" si="110"/>
        <v>0</v>
      </c>
      <c r="AQ105" s="131">
        <f>+AK105</f>
        <v>-13344</v>
      </c>
      <c r="AR105" s="131"/>
      <c r="AS105" s="131"/>
      <c r="AT105" s="131"/>
      <c r="AU105" s="131">
        <f t="shared" si="103"/>
        <v>-13344</v>
      </c>
      <c r="AV105" s="217">
        <f t="shared" si="104"/>
        <v>0</v>
      </c>
    </row>
    <row r="106" spans="3:48" s="59" customFormat="1" ht="28.5" customHeight="1" x14ac:dyDescent="0.3">
      <c r="C106" s="66" t="s">
        <v>217</v>
      </c>
      <c r="D106" s="67" t="s">
        <v>452</v>
      </c>
      <c r="E106" s="68">
        <f t="shared" ref="E106:P106" si="119">SUM(E107:E108)</f>
        <v>0</v>
      </c>
      <c r="F106" s="68">
        <f t="shared" si="119"/>
        <v>461250</v>
      </c>
      <c r="G106" s="68">
        <f t="shared" si="119"/>
        <v>0</v>
      </c>
      <c r="H106" s="68">
        <f t="shared" si="119"/>
        <v>0</v>
      </c>
      <c r="I106" s="68">
        <f t="shared" si="119"/>
        <v>765000</v>
      </c>
      <c r="J106" s="68">
        <f t="shared" si="119"/>
        <v>1000000</v>
      </c>
      <c r="K106" s="68">
        <f t="shared" si="119"/>
        <v>0</v>
      </c>
      <c r="L106" s="68">
        <f t="shared" si="119"/>
        <v>815000</v>
      </c>
      <c r="M106" s="68">
        <f t="shared" si="119"/>
        <v>0</v>
      </c>
      <c r="N106" s="68">
        <f t="shared" si="119"/>
        <v>1486000</v>
      </c>
      <c r="O106" s="68">
        <f t="shared" si="119"/>
        <v>0</v>
      </c>
      <c r="P106" s="68">
        <f t="shared" si="119"/>
        <v>0</v>
      </c>
      <c r="Q106" s="169">
        <f t="shared" si="99"/>
        <v>4527250</v>
      </c>
      <c r="R106" s="175" t="s">
        <v>217</v>
      </c>
      <c r="S106" s="175" t="s">
        <v>452</v>
      </c>
      <c r="T106" s="176">
        <v>19164634.960000001</v>
      </c>
      <c r="U106" s="183">
        <f t="shared" si="100"/>
        <v>23691884.960000001</v>
      </c>
      <c r="V106" s="173" t="s">
        <v>217</v>
      </c>
      <c r="W106" s="130" t="s">
        <v>452</v>
      </c>
      <c r="X106" s="131">
        <f>SUM(X107:X108)</f>
        <v>0</v>
      </c>
      <c r="Y106" s="131">
        <f>SUM(Y107:Y108)</f>
        <v>0</v>
      </c>
      <c r="Z106" s="131">
        <v>25395.37</v>
      </c>
      <c r="AA106" s="131">
        <f>SUM(AA107:AA108)</f>
        <v>0</v>
      </c>
      <c r="AB106" s="131">
        <v>0</v>
      </c>
      <c r="AC106" s="131">
        <v>451999</v>
      </c>
      <c r="AD106" s="131">
        <v>0</v>
      </c>
      <c r="AE106" s="131">
        <f>SUM(AE107:AE108)</f>
        <v>0</v>
      </c>
      <c r="AF106" s="131">
        <f>SUM(AF107:AF108)</f>
        <v>0</v>
      </c>
      <c r="AG106" s="131">
        <f>SUM(AG107:AG108)</f>
        <v>0</v>
      </c>
      <c r="AH106" s="131">
        <f>SUM(AH107:AH108)</f>
        <v>0</v>
      </c>
      <c r="AI106" s="131">
        <f>SUM(AI107:AI108)</f>
        <v>0</v>
      </c>
      <c r="AJ106" s="132">
        <f t="shared" si="73"/>
        <v>477394.37</v>
      </c>
      <c r="AK106" s="132">
        <f t="shared" si="72"/>
        <v>23214490.59</v>
      </c>
      <c r="AL106" s="204">
        <f t="shared" si="74"/>
        <v>2.0150121900642557E-2</v>
      </c>
      <c r="AN106"/>
      <c r="AO106" s="131">
        <f>+AK106</f>
        <v>23214490.59</v>
      </c>
      <c r="AP106" s="131"/>
      <c r="AQ106" s="131"/>
      <c r="AR106" s="131"/>
      <c r="AS106" s="131">
        <f>+AO106</f>
        <v>23214490.59</v>
      </c>
      <c r="AT106" s="131"/>
      <c r="AU106" s="131">
        <f>SUM(AP106:AT106)</f>
        <v>23214490.59</v>
      </c>
      <c r="AV106" s="217">
        <f t="shared" si="104"/>
        <v>0</v>
      </c>
    </row>
    <row r="107" spans="3:48" s="83" customFormat="1" ht="36" customHeight="1" x14ac:dyDescent="0.25">
      <c r="C107" s="62" t="s">
        <v>394</v>
      </c>
      <c r="D107" s="80" t="s">
        <v>453</v>
      </c>
      <c r="E107" s="82"/>
      <c r="F107" s="82">
        <f>280000+181250</f>
        <v>461250</v>
      </c>
      <c r="G107" s="82"/>
      <c r="H107" s="82"/>
      <c r="I107" s="82">
        <v>365000</v>
      </c>
      <c r="J107" s="82">
        <v>1000000</v>
      </c>
      <c r="K107" s="82"/>
      <c r="L107" s="82">
        <v>115000</v>
      </c>
      <c r="M107" s="82"/>
      <c r="N107" s="82">
        <v>1486000</v>
      </c>
      <c r="O107" s="82"/>
      <c r="P107" s="82"/>
      <c r="Q107" s="163">
        <f t="shared" si="99"/>
        <v>3427250</v>
      </c>
      <c r="R107" s="165" t="s">
        <v>394</v>
      </c>
      <c r="S107" s="165" t="s">
        <v>453</v>
      </c>
      <c r="T107" s="166"/>
      <c r="U107" s="181"/>
      <c r="V107" s="164" t="s">
        <v>394</v>
      </c>
      <c r="W107" s="80" t="s">
        <v>453</v>
      </c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65">
        <f t="shared" si="73"/>
        <v>0</v>
      </c>
      <c r="AK107" s="65">
        <f t="shared" ref="AK107:AK139" si="120">+U107-AJ107</f>
        <v>0</v>
      </c>
      <c r="AL107" s="205">
        <f t="shared" si="74"/>
        <v>0</v>
      </c>
      <c r="AN107"/>
      <c r="AO107" s="216"/>
      <c r="AP107" s="216"/>
      <c r="AQ107" s="216"/>
      <c r="AR107" s="216"/>
      <c r="AS107" s="216"/>
      <c r="AT107" s="216"/>
      <c r="AU107" s="216"/>
      <c r="AV107" s="216"/>
    </row>
    <row r="108" spans="3:48" s="83" customFormat="1" ht="46.5" customHeight="1" x14ac:dyDescent="0.25">
      <c r="C108" s="62" t="s">
        <v>398</v>
      </c>
      <c r="D108" s="80" t="s">
        <v>454</v>
      </c>
      <c r="E108" s="82"/>
      <c r="F108" s="82"/>
      <c r="G108" s="82"/>
      <c r="H108" s="82"/>
      <c r="I108" s="82">
        <v>400000</v>
      </c>
      <c r="J108" s="82"/>
      <c r="K108" s="82"/>
      <c r="L108" s="82">
        <v>700000</v>
      </c>
      <c r="M108" s="82"/>
      <c r="N108" s="82"/>
      <c r="O108" s="82"/>
      <c r="P108" s="82"/>
      <c r="Q108" s="163">
        <f t="shared" si="99"/>
        <v>1100000</v>
      </c>
      <c r="R108" s="165" t="s">
        <v>398</v>
      </c>
      <c r="S108" s="165" t="s">
        <v>454</v>
      </c>
      <c r="T108" s="166"/>
      <c r="U108" s="181"/>
      <c r="V108" s="164" t="s">
        <v>398</v>
      </c>
      <c r="W108" s="80" t="s">
        <v>454</v>
      </c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65">
        <f t="shared" si="73"/>
        <v>0</v>
      </c>
      <c r="AK108" s="65">
        <f t="shared" si="120"/>
        <v>0</v>
      </c>
      <c r="AL108" s="205">
        <f t="shared" si="74"/>
        <v>0</v>
      </c>
      <c r="AN108"/>
      <c r="AO108" s="1"/>
      <c r="AP108" s="216"/>
      <c r="AQ108" s="216"/>
      <c r="AR108" s="216"/>
      <c r="AS108" s="216"/>
      <c r="AT108" s="216"/>
      <c r="AU108" s="216"/>
      <c r="AV108" s="216"/>
    </row>
    <row r="109" spans="3:48" s="59" customFormat="1" ht="28.5" customHeight="1" x14ac:dyDescent="0.3">
      <c r="C109" s="66" t="s">
        <v>223</v>
      </c>
      <c r="D109" s="67" t="s">
        <v>455</v>
      </c>
      <c r="E109" s="85"/>
      <c r="F109" s="85"/>
      <c r="G109" s="85">
        <v>285000</v>
      </c>
      <c r="H109" s="85"/>
      <c r="I109" s="85"/>
      <c r="J109" s="85"/>
      <c r="K109" s="85"/>
      <c r="L109" s="85">
        <v>200000</v>
      </c>
      <c r="M109" s="85"/>
      <c r="N109" s="85"/>
      <c r="O109" s="85">
        <v>350000</v>
      </c>
      <c r="P109" s="85"/>
      <c r="Q109" s="169">
        <f t="shared" si="99"/>
        <v>835000</v>
      </c>
      <c r="R109" s="175" t="s">
        <v>223</v>
      </c>
      <c r="S109" s="175" t="s">
        <v>455</v>
      </c>
      <c r="T109" s="176">
        <v>0</v>
      </c>
      <c r="U109" s="183">
        <f t="shared" ref="U109:U110" si="121">+Q109+T109</f>
        <v>835000</v>
      </c>
      <c r="V109" s="173" t="s">
        <v>223</v>
      </c>
      <c r="W109" s="130" t="s">
        <v>455</v>
      </c>
      <c r="X109" s="131">
        <f>VLOOKUP(V109,'Reporte Devengado Aprobado'!B:P,3,FALSE)</f>
        <v>0</v>
      </c>
      <c r="Y109" s="131">
        <v>58410</v>
      </c>
      <c r="Z109" s="131">
        <v>86140</v>
      </c>
      <c r="AA109" s="131">
        <v>10620</v>
      </c>
      <c r="AB109" s="131">
        <v>22000.06</v>
      </c>
      <c r="AC109" s="131">
        <v>0</v>
      </c>
      <c r="AD109" s="131">
        <v>0</v>
      </c>
      <c r="AE109" s="131">
        <v>66280.03</v>
      </c>
      <c r="AF109" s="131"/>
      <c r="AG109" s="131"/>
      <c r="AH109" s="131"/>
      <c r="AI109" s="131"/>
      <c r="AJ109" s="132">
        <f t="shared" si="73"/>
        <v>243450.09</v>
      </c>
      <c r="AK109" s="132">
        <f t="shared" si="120"/>
        <v>591549.91</v>
      </c>
      <c r="AL109" s="204">
        <f t="shared" si="74"/>
        <v>0.29155699401197605</v>
      </c>
      <c r="AN109"/>
      <c r="AO109" s="131">
        <f t="shared" ref="AO109:AO110" si="122">IFERROR(AVERAGE(X109:AD109),0)</f>
        <v>25310.008571428571</v>
      </c>
      <c r="AP109" s="131">
        <f>+AO109</f>
        <v>25310.008571428571</v>
      </c>
      <c r="AQ109" s="131">
        <f t="shared" ref="AQ109:AT109" si="123">+AP109</f>
        <v>25310.008571428571</v>
      </c>
      <c r="AR109" s="131">
        <f t="shared" si="123"/>
        <v>25310.008571428571</v>
      </c>
      <c r="AS109" s="131">
        <f t="shared" si="123"/>
        <v>25310.008571428571</v>
      </c>
      <c r="AT109" s="131">
        <f t="shared" si="123"/>
        <v>25310.008571428571</v>
      </c>
      <c r="AU109" s="131">
        <f>SUM(AP109:AT109)</f>
        <v>126550.04285714285</v>
      </c>
      <c r="AV109" s="217">
        <f t="shared" ref="AV109:AV110" si="124">+AK109-AU109</f>
        <v>464999.86714285717</v>
      </c>
    </row>
    <row r="110" spans="3:48" s="59" customFormat="1" ht="28.5" customHeight="1" x14ac:dyDescent="0.3">
      <c r="C110" s="66" t="s">
        <v>225</v>
      </c>
      <c r="D110" s="67" t="s">
        <v>456</v>
      </c>
      <c r="E110" s="68">
        <f t="shared" ref="E110:P110" si="125">SUM(E111)</f>
        <v>0</v>
      </c>
      <c r="F110" s="68">
        <f t="shared" si="125"/>
        <v>480000</v>
      </c>
      <c r="G110" s="68">
        <f t="shared" si="125"/>
        <v>0</v>
      </c>
      <c r="H110" s="68">
        <f t="shared" si="125"/>
        <v>0</v>
      </c>
      <c r="I110" s="68">
        <f t="shared" si="125"/>
        <v>525000</v>
      </c>
      <c r="J110" s="68">
        <f t="shared" si="125"/>
        <v>0</v>
      </c>
      <c r="K110" s="68">
        <f t="shared" si="125"/>
        <v>0</v>
      </c>
      <c r="L110" s="68">
        <f t="shared" si="125"/>
        <v>785000</v>
      </c>
      <c r="M110" s="68">
        <f t="shared" si="125"/>
        <v>0</v>
      </c>
      <c r="N110" s="68">
        <f t="shared" si="125"/>
        <v>675000</v>
      </c>
      <c r="O110" s="68">
        <f t="shared" si="125"/>
        <v>0</v>
      </c>
      <c r="P110" s="68">
        <f t="shared" si="125"/>
        <v>0</v>
      </c>
      <c r="Q110" s="169">
        <f t="shared" si="99"/>
        <v>2465000</v>
      </c>
      <c r="R110" s="175" t="s">
        <v>225</v>
      </c>
      <c r="S110" s="175" t="s">
        <v>456</v>
      </c>
      <c r="T110" s="202">
        <v>-585879.57999999996</v>
      </c>
      <c r="U110" s="183">
        <f t="shared" si="121"/>
        <v>1879120.42</v>
      </c>
      <c r="V110" s="173" t="s">
        <v>225</v>
      </c>
      <c r="W110" s="130" t="s">
        <v>456</v>
      </c>
      <c r="X110" s="131">
        <f>SUM(X111)</f>
        <v>0</v>
      </c>
      <c r="Y110" s="131">
        <v>42711</v>
      </c>
      <c r="Z110" s="131">
        <v>185100</v>
      </c>
      <c r="AA110" s="131">
        <v>-84100</v>
      </c>
      <c r="AB110" s="131">
        <v>0</v>
      </c>
      <c r="AC110" s="131">
        <v>10100</v>
      </c>
      <c r="AD110" s="131">
        <v>15000</v>
      </c>
      <c r="AE110" s="131">
        <v>120000</v>
      </c>
      <c r="AF110" s="131">
        <v>8615</v>
      </c>
      <c r="AG110" s="131">
        <f>SUM(AG111)</f>
        <v>0</v>
      </c>
      <c r="AH110" s="131">
        <f>SUM(AH111)</f>
        <v>0</v>
      </c>
      <c r="AI110" s="131">
        <f>SUM(AI111)</f>
        <v>0</v>
      </c>
      <c r="AJ110" s="132">
        <f t="shared" si="73"/>
        <v>297426</v>
      </c>
      <c r="AK110" s="200">
        <f t="shared" si="120"/>
        <v>1581694.42</v>
      </c>
      <c r="AL110" s="204">
        <f t="shared" si="74"/>
        <v>0.15827937200533429</v>
      </c>
      <c r="AN110"/>
      <c r="AO110" s="131">
        <f t="shared" si="122"/>
        <v>24115.857142857141</v>
      </c>
      <c r="AP110" s="131">
        <f>+AO110</f>
        <v>24115.857142857141</v>
      </c>
      <c r="AQ110" s="131">
        <f t="shared" ref="AQ110:AT110" si="126">+AP110</f>
        <v>24115.857142857141</v>
      </c>
      <c r="AR110" s="131">
        <f t="shared" si="126"/>
        <v>24115.857142857141</v>
      </c>
      <c r="AS110" s="131">
        <f t="shared" si="126"/>
        <v>24115.857142857141</v>
      </c>
      <c r="AT110" s="131">
        <f t="shared" si="126"/>
        <v>24115.857142857141</v>
      </c>
      <c r="AU110" s="131">
        <f>SUM(AP110:AT110)</f>
        <v>120579.28571428571</v>
      </c>
      <c r="AV110" s="217">
        <f t="shared" si="124"/>
        <v>1461115.1342857142</v>
      </c>
    </row>
    <row r="111" spans="3:48" s="83" customFormat="1" ht="28.5" customHeight="1" x14ac:dyDescent="0.25">
      <c r="C111" s="62" t="s">
        <v>394</v>
      </c>
      <c r="D111" s="80" t="s">
        <v>457</v>
      </c>
      <c r="E111" s="82"/>
      <c r="F111" s="82">
        <v>480000</v>
      </c>
      <c r="G111" s="82"/>
      <c r="H111" s="82"/>
      <c r="I111" s="82">
        <f>25000+500000</f>
        <v>525000</v>
      </c>
      <c r="J111" s="82"/>
      <c r="K111" s="82"/>
      <c r="L111" s="82">
        <v>785000</v>
      </c>
      <c r="M111" s="82"/>
      <c r="N111" s="82">
        <v>675000</v>
      </c>
      <c r="O111" s="82"/>
      <c r="P111" s="82"/>
      <c r="Q111" s="163">
        <f t="shared" si="99"/>
        <v>2465000</v>
      </c>
      <c r="R111" s="165" t="s">
        <v>394</v>
      </c>
      <c r="S111" s="165" t="s">
        <v>457</v>
      </c>
      <c r="T111" s="166"/>
      <c r="U111" s="181"/>
      <c r="V111" s="164" t="s">
        <v>394</v>
      </c>
      <c r="W111" s="80" t="s">
        <v>457</v>
      </c>
      <c r="X111" s="82"/>
      <c r="Y111" s="82"/>
      <c r="Z111" s="82"/>
      <c r="AA111" s="82"/>
      <c r="AB111" s="82"/>
      <c r="AC111" s="82"/>
      <c r="AD111" s="82"/>
      <c r="AE111" s="131"/>
      <c r="AF111" s="82"/>
      <c r="AG111" s="82"/>
      <c r="AH111" s="82"/>
      <c r="AI111" s="82"/>
      <c r="AJ111" s="132">
        <f t="shared" si="73"/>
        <v>0</v>
      </c>
      <c r="AK111" s="65">
        <f t="shared" si="120"/>
        <v>0</v>
      </c>
      <c r="AL111" s="205">
        <f t="shared" si="74"/>
        <v>0</v>
      </c>
      <c r="AN111"/>
      <c r="AO111" s="216"/>
      <c r="AP111" s="216"/>
      <c r="AQ111" s="216"/>
      <c r="AR111" s="216"/>
      <c r="AS111" s="216"/>
      <c r="AT111" s="216"/>
      <c r="AU111" s="216"/>
      <c r="AV111" s="216"/>
    </row>
    <row r="112" spans="3:48" s="83" customFormat="1" ht="28.5" customHeight="1" x14ac:dyDescent="0.25">
      <c r="C112" s="66" t="s">
        <v>600</v>
      </c>
      <c r="D112" s="67" t="s">
        <v>601</v>
      </c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169"/>
      <c r="R112" s="175" t="s">
        <v>600</v>
      </c>
      <c r="S112" s="175" t="s">
        <v>601</v>
      </c>
      <c r="T112" s="202">
        <v>18379.68</v>
      </c>
      <c r="U112" s="183">
        <f t="shared" ref="U112:U113" si="127">+Q112+T112</f>
        <v>18379.68</v>
      </c>
      <c r="V112" s="173" t="s">
        <v>600</v>
      </c>
      <c r="W112" s="130" t="s">
        <v>601</v>
      </c>
      <c r="X112" s="219"/>
      <c r="Y112" s="219"/>
      <c r="Z112" s="219"/>
      <c r="AA112" s="219"/>
      <c r="AB112" s="219"/>
      <c r="AC112" s="219"/>
      <c r="AD112" s="219"/>
      <c r="AE112" s="131">
        <v>16708.8</v>
      </c>
      <c r="AF112" s="219"/>
      <c r="AG112" s="219"/>
      <c r="AH112" s="219"/>
      <c r="AI112" s="219"/>
      <c r="AJ112" s="132">
        <f t="shared" si="73"/>
        <v>16708.8</v>
      </c>
      <c r="AK112" s="132">
        <f t="shared" si="120"/>
        <v>1670.880000000001</v>
      </c>
      <c r="AL112" s="205"/>
      <c r="AN112"/>
      <c r="AO112" s="131">
        <f>IFERROR(AVERAGE(X112:AD112),0)</f>
        <v>0</v>
      </c>
      <c r="AP112" s="131">
        <f>+AO112</f>
        <v>0</v>
      </c>
      <c r="AQ112" s="131">
        <f t="shared" ref="AQ112:AU112" si="128">+AP112</f>
        <v>0</v>
      </c>
      <c r="AR112" s="131">
        <f t="shared" si="128"/>
        <v>0</v>
      </c>
      <c r="AS112" s="131">
        <f t="shared" si="128"/>
        <v>0</v>
      </c>
      <c r="AT112" s="131">
        <f t="shared" si="128"/>
        <v>0</v>
      </c>
      <c r="AU112" s="131">
        <f t="shared" si="128"/>
        <v>0</v>
      </c>
      <c r="AV112" s="217">
        <f>+AK112-AU112</f>
        <v>1670.880000000001</v>
      </c>
    </row>
    <row r="113" spans="3:48" s="59" customFormat="1" ht="28.5" customHeight="1" x14ac:dyDescent="0.3">
      <c r="C113" s="66" t="s">
        <v>227</v>
      </c>
      <c r="D113" s="67" t="s">
        <v>458</v>
      </c>
      <c r="E113" s="68">
        <f t="shared" ref="E113:P113" si="129">SUM(E114:E115)</f>
        <v>0</v>
      </c>
      <c r="F113" s="68">
        <f t="shared" si="129"/>
        <v>922920</v>
      </c>
      <c r="G113" s="68">
        <f t="shared" si="129"/>
        <v>0</v>
      </c>
      <c r="H113" s="68">
        <f t="shared" si="129"/>
        <v>0</v>
      </c>
      <c r="I113" s="68">
        <f t="shared" si="129"/>
        <v>775000</v>
      </c>
      <c r="J113" s="68">
        <f t="shared" si="129"/>
        <v>0</v>
      </c>
      <c r="K113" s="68">
        <f t="shared" si="129"/>
        <v>0</v>
      </c>
      <c r="L113" s="68">
        <f t="shared" si="129"/>
        <v>1070840</v>
      </c>
      <c r="M113" s="68">
        <f t="shared" si="129"/>
        <v>0</v>
      </c>
      <c r="N113" s="68">
        <f t="shared" si="129"/>
        <v>0</v>
      </c>
      <c r="O113" s="68">
        <f t="shared" si="129"/>
        <v>922920</v>
      </c>
      <c r="P113" s="68">
        <f t="shared" si="129"/>
        <v>0</v>
      </c>
      <c r="Q113" s="169">
        <f t="shared" si="99"/>
        <v>3691680</v>
      </c>
      <c r="R113" s="175" t="s">
        <v>227</v>
      </c>
      <c r="S113" s="175" t="s">
        <v>458</v>
      </c>
      <c r="T113" s="176">
        <v>0</v>
      </c>
      <c r="U113" s="183">
        <f t="shared" si="127"/>
        <v>3691680</v>
      </c>
      <c r="V113" s="173" t="s">
        <v>227</v>
      </c>
      <c r="W113" s="130" t="s">
        <v>458</v>
      </c>
      <c r="X113" s="131">
        <f>SUM(X114:X115)</f>
        <v>53289.13</v>
      </c>
      <c r="Y113" s="131">
        <f>SUM(Y114:Y115)</f>
        <v>155773.26999999999</v>
      </c>
      <c r="Z113" s="131">
        <f>SUM(Z114:Z115)</f>
        <v>94016.93</v>
      </c>
      <c r="AA113" s="131">
        <v>119534.72</v>
      </c>
      <c r="AB113" s="131">
        <v>180124.93</v>
      </c>
      <c r="AC113" s="131">
        <v>109323.22</v>
      </c>
      <c r="AD113" s="131">
        <f>+AD114</f>
        <v>260868.8</v>
      </c>
      <c r="AE113" s="131">
        <v>95816.93</v>
      </c>
      <c r="AF113" s="131">
        <v>68952.67</v>
      </c>
      <c r="AG113" s="131">
        <f>SUM(AG114:AG115)</f>
        <v>0</v>
      </c>
      <c r="AH113" s="131">
        <f>SUM(AH114:AH115)</f>
        <v>0</v>
      </c>
      <c r="AI113" s="131">
        <f>SUM(AI114:AI115)</f>
        <v>0</v>
      </c>
      <c r="AJ113" s="132">
        <f t="shared" si="73"/>
        <v>1137700.5999999999</v>
      </c>
      <c r="AK113" s="132">
        <f t="shared" si="120"/>
        <v>2553979.4000000004</v>
      </c>
      <c r="AL113" s="204">
        <f t="shared" si="74"/>
        <v>0.30817963637151646</v>
      </c>
      <c r="AN113"/>
      <c r="AO113" s="131">
        <f>IFERROR(AVERAGE(X113:AD113),0)</f>
        <v>138990.14285714287</v>
      </c>
      <c r="AP113" s="131">
        <f>+AO113</f>
        <v>138990.14285714287</v>
      </c>
      <c r="AQ113" s="131">
        <f t="shared" ref="AQ113:AT113" si="130">+AP113</f>
        <v>138990.14285714287</v>
      </c>
      <c r="AR113" s="131">
        <f t="shared" si="130"/>
        <v>138990.14285714287</v>
      </c>
      <c r="AS113" s="131">
        <f t="shared" si="130"/>
        <v>138990.14285714287</v>
      </c>
      <c r="AT113" s="131">
        <f t="shared" si="130"/>
        <v>138990.14285714287</v>
      </c>
      <c r="AU113" s="131">
        <f>SUM(AP113:AT113)</f>
        <v>694950.71428571432</v>
      </c>
      <c r="AV113" s="217">
        <f>+AK113-AU113</f>
        <v>1859028.6857142861</v>
      </c>
    </row>
    <row r="114" spans="3:48" s="83" customFormat="1" ht="28.5" customHeight="1" x14ac:dyDescent="0.25">
      <c r="C114" s="62" t="s">
        <v>394</v>
      </c>
      <c r="D114" s="80" t="s">
        <v>459</v>
      </c>
      <c r="E114" s="82"/>
      <c r="F114" s="82">
        <v>775000</v>
      </c>
      <c r="G114" s="82"/>
      <c r="H114" s="82"/>
      <c r="I114" s="82">
        <v>775000</v>
      </c>
      <c r="J114" s="82"/>
      <c r="K114" s="82"/>
      <c r="L114" s="82">
        <v>775000</v>
      </c>
      <c r="M114" s="82"/>
      <c r="N114" s="82"/>
      <c r="O114" s="82">
        <v>775000</v>
      </c>
      <c r="P114" s="82"/>
      <c r="Q114" s="163">
        <f t="shared" si="99"/>
        <v>3100000</v>
      </c>
      <c r="R114" s="165" t="s">
        <v>394</v>
      </c>
      <c r="S114" s="165" t="s">
        <v>459</v>
      </c>
      <c r="T114" s="166"/>
      <c r="U114" s="181"/>
      <c r="V114" s="164" t="s">
        <v>394</v>
      </c>
      <c r="W114" s="80" t="s">
        <v>459</v>
      </c>
      <c r="X114" s="82">
        <v>53289.13</v>
      </c>
      <c r="Y114" s="82">
        <v>155773.26999999999</v>
      </c>
      <c r="Z114" s="82">
        <v>94016.93</v>
      </c>
      <c r="AA114" s="82"/>
      <c r="AB114" s="82">
        <f>+AB113</f>
        <v>180124.93</v>
      </c>
      <c r="AC114" s="82">
        <v>109323.22</v>
      </c>
      <c r="AD114" s="82">
        <v>260868.8</v>
      </c>
      <c r="AE114" s="82"/>
      <c r="AF114" s="82"/>
      <c r="AG114" s="82"/>
      <c r="AH114" s="82"/>
      <c r="AI114" s="82"/>
      <c r="AJ114" s="65">
        <f t="shared" si="73"/>
        <v>853396.28</v>
      </c>
      <c r="AK114" s="65">
        <f t="shared" si="120"/>
        <v>-853396.28</v>
      </c>
      <c r="AL114" s="205">
        <f t="shared" si="74"/>
        <v>0</v>
      </c>
      <c r="AN114"/>
      <c r="AO114" s="216"/>
      <c r="AP114" s="216"/>
      <c r="AQ114" s="216"/>
      <c r="AR114" s="216"/>
      <c r="AS114" s="216"/>
      <c r="AT114" s="216"/>
      <c r="AU114" s="216"/>
      <c r="AV114" s="216"/>
    </row>
    <row r="115" spans="3:48" s="83" customFormat="1" ht="28.5" customHeight="1" x14ac:dyDescent="0.25">
      <c r="C115" s="62" t="s">
        <v>398</v>
      </c>
      <c r="D115" s="80" t="s">
        <v>460</v>
      </c>
      <c r="E115" s="82"/>
      <c r="F115" s="82">
        <f>591680/4</f>
        <v>147920</v>
      </c>
      <c r="G115" s="82"/>
      <c r="H115" s="82"/>
      <c r="I115" s="82"/>
      <c r="J115" s="82"/>
      <c r="K115" s="82"/>
      <c r="L115" s="82">
        <f>(591680/4)*2</f>
        <v>295840</v>
      </c>
      <c r="M115" s="82"/>
      <c r="N115" s="82"/>
      <c r="O115" s="82">
        <f>591680/4</f>
        <v>147920</v>
      </c>
      <c r="P115" s="82"/>
      <c r="Q115" s="163">
        <f t="shared" si="99"/>
        <v>591680</v>
      </c>
      <c r="R115" s="165" t="s">
        <v>398</v>
      </c>
      <c r="S115" s="165" t="s">
        <v>460</v>
      </c>
      <c r="T115" s="166"/>
      <c r="U115" s="181"/>
      <c r="V115" s="164" t="s">
        <v>398</v>
      </c>
      <c r="W115" s="80" t="s">
        <v>460</v>
      </c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65">
        <f t="shared" si="73"/>
        <v>0</v>
      </c>
      <c r="AK115" s="65">
        <f t="shared" si="120"/>
        <v>0</v>
      </c>
      <c r="AL115" s="205">
        <f t="shared" si="74"/>
        <v>0</v>
      </c>
      <c r="AN115"/>
      <c r="AO115" s="216"/>
      <c r="AP115" s="216"/>
      <c r="AQ115" s="216"/>
      <c r="AR115" s="216"/>
      <c r="AS115" s="216"/>
      <c r="AT115" s="216"/>
      <c r="AU115" s="216"/>
      <c r="AV115" s="216"/>
    </row>
    <row r="116" spans="3:48" s="59" customFormat="1" ht="28.5" customHeight="1" x14ac:dyDescent="0.3">
      <c r="C116" s="66" t="s">
        <v>239</v>
      </c>
      <c r="D116" s="67" t="s">
        <v>461</v>
      </c>
      <c r="E116" s="68">
        <f t="shared" ref="E116:P116" si="131">SUM(E117:E118)</f>
        <v>0</v>
      </c>
      <c r="F116" s="68">
        <f t="shared" si="131"/>
        <v>475000</v>
      </c>
      <c r="G116" s="68">
        <f t="shared" si="131"/>
        <v>0</v>
      </c>
      <c r="H116" s="68">
        <f t="shared" si="131"/>
        <v>0</v>
      </c>
      <c r="I116" s="68">
        <f t="shared" si="131"/>
        <v>400000</v>
      </c>
      <c r="J116" s="68">
        <f t="shared" si="131"/>
        <v>0</v>
      </c>
      <c r="K116" s="68">
        <f t="shared" si="131"/>
        <v>0</v>
      </c>
      <c r="L116" s="68">
        <f t="shared" si="131"/>
        <v>244000</v>
      </c>
      <c r="M116" s="68">
        <f t="shared" si="131"/>
        <v>0</v>
      </c>
      <c r="N116" s="68">
        <f t="shared" si="131"/>
        <v>0</v>
      </c>
      <c r="O116" s="68">
        <f t="shared" si="131"/>
        <v>184000</v>
      </c>
      <c r="P116" s="68">
        <f t="shared" si="131"/>
        <v>0</v>
      </c>
      <c r="Q116" s="169">
        <f t="shared" si="99"/>
        <v>1303000</v>
      </c>
      <c r="R116" s="175" t="s">
        <v>239</v>
      </c>
      <c r="S116" s="175" t="s">
        <v>461</v>
      </c>
      <c r="T116" s="176">
        <v>990000</v>
      </c>
      <c r="U116" s="183">
        <f t="shared" ref="U116" si="132">+Q116+T116</f>
        <v>2293000</v>
      </c>
      <c r="V116" s="173" t="s">
        <v>239</v>
      </c>
      <c r="W116" s="130" t="s">
        <v>461</v>
      </c>
      <c r="X116" s="131">
        <f>SUM(X117:X118)</f>
        <v>0</v>
      </c>
      <c r="Y116" s="131">
        <f>SUM(Y117:Y118)</f>
        <v>220236.97</v>
      </c>
      <c r="Z116" s="131">
        <f>SUM(Z117:Z118)</f>
        <v>70397.03</v>
      </c>
      <c r="AA116" s="131">
        <f>SUM(AA117:AA118)</f>
        <v>0</v>
      </c>
      <c r="AB116" s="131">
        <f>SUM(AB117:AB118)</f>
        <v>164692.6</v>
      </c>
      <c r="AC116" s="131">
        <v>0</v>
      </c>
      <c r="AD116" s="131">
        <v>0</v>
      </c>
      <c r="AE116" s="131">
        <v>265500</v>
      </c>
      <c r="AF116" s="131">
        <v>134449.20000000001</v>
      </c>
      <c r="AG116" s="131">
        <f>SUM(AG117:AG118)</f>
        <v>0</v>
      </c>
      <c r="AH116" s="131">
        <f>SUM(AH117:AH118)</f>
        <v>0</v>
      </c>
      <c r="AI116" s="131">
        <f>SUM(AI117:AI118)</f>
        <v>0</v>
      </c>
      <c r="AJ116" s="132">
        <f t="shared" si="73"/>
        <v>855275.8</v>
      </c>
      <c r="AK116" s="132">
        <f t="shared" si="120"/>
        <v>1437724.2</v>
      </c>
      <c r="AL116" s="204">
        <f t="shared" si="74"/>
        <v>0.37299424334932407</v>
      </c>
      <c r="AN116"/>
      <c r="AO116" s="131">
        <f>IFERROR(AVERAGE(X116:AD116),0)</f>
        <v>65046.657142857141</v>
      </c>
      <c r="AP116" s="131">
        <f>+AO116</f>
        <v>65046.657142857141</v>
      </c>
      <c r="AQ116" s="131">
        <f t="shared" ref="AQ116:AU116" si="133">+AP116</f>
        <v>65046.657142857141</v>
      </c>
      <c r="AR116" s="131">
        <f t="shared" si="133"/>
        <v>65046.657142857141</v>
      </c>
      <c r="AS116" s="131">
        <f t="shared" si="133"/>
        <v>65046.657142857141</v>
      </c>
      <c r="AT116" s="131">
        <f t="shared" si="133"/>
        <v>65046.657142857141</v>
      </c>
      <c r="AU116" s="131">
        <f t="shared" si="133"/>
        <v>65046.657142857141</v>
      </c>
      <c r="AV116" s="217">
        <f>+AK116-AU116</f>
        <v>1372677.5428571429</v>
      </c>
    </row>
    <row r="117" spans="3:48" s="83" customFormat="1" ht="28.5" customHeight="1" x14ac:dyDescent="0.25">
      <c r="C117" s="62" t="s">
        <v>394</v>
      </c>
      <c r="D117" s="80" t="s">
        <v>462</v>
      </c>
      <c r="E117" s="82"/>
      <c r="F117" s="82">
        <v>375000</v>
      </c>
      <c r="G117" s="82"/>
      <c r="H117" s="82"/>
      <c r="I117" s="82">
        <v>300000</v>
      </c>
      <c r="J117" s="82"/>
      <c r="K117" s="82"/>
      <c r="L117" s="82">
        <v>244000</v>
      </c>
      <c r="M117" s="82"/>
      <c r="N117" s="82"/>
      <c r="O117" s="82">
        <v>184000</v>
      </c>
      <c r="P117" s="82"/>
      <c r="Q117" s="163">
        <f t="shared" si="99"/>
        <v>1103000</v>
      </c>
      <c r="R117" s="165" t="s">
        <v>394</v>
      </c>
      <c r="S117" s="165" t="s">
        <v>462</v>
      </c>
      <c r="T117" s="166"/>
      <c r="U117" s="181"/>
      <c r="V117" s="164" t="s">
        <v>394</v>
      </c>
      <c r="W117" s="80" t="s">
        <v>462</v>
      </c>
      <c r="X117" s="82"/>
      <c r="Y117" s="82">
        <v>220236.97</v>
      </c>
      <c r="Z117" s="82">
        <v>70397.03</v>
      </c>
      <c r="AA117" s="82">
        <v>0</v>
      </c>
      <c r="AB117" s="82">
        <v>164692.6</v>
      </c>
      <c r="AC117" s="82">
        <v>0</v>
      </c>
      <c r="AD117" s="82"/>
      <c r="AE117" s="82"/>
      <c r="AF117" s="82"/>
      <c r="AG117" s="82"/>
      <c r="AH117" s="82"/>
      <c r="AI117" s="82"/>
      <c r="AJ117" s="65">
        <f t="shared" si="73"/>
        <v>455326.6</v>
      </c>
      <c r="AK117" s="65">
        <f t="shared" si="120"/>
        <v>-455326.6</v>
      </c>
      <c r="AL117" s="205">
        <f t="shared" si="74"/>
        <v>0</v>
      </c>
      <c r="AN117"/>
      <c r="AO117" s="216"/>
      <c r="AP117" s="216"/>
      <c r="AQ117" s="216"/>
      <c r="AR117" s="216"/>
      <c r="AS117" s="216"/>
      <c r="AT117" s="216"/>
      <c r="AU117" s="216"/>
      <c r="AV117" s="216"/>
    </row>
    <row r="118" spans="3:48" s="83" customFormat="1" ht="28.5" customHeight="1" x14ac:dyDescent="0.25">
      <c r="C118" s="62" t="s">
        <v>398</v>
      </c>
      <c r="D118" s="80" t="s">
        <v>463</v>
      </c>
      <c r="E118" s="82"/>
      <c r="F118" s="82">
        <v>100000</v>
      </c>
      <c r="G118" s="82"/>
      <c r="H118" s="82"/>
      <c r="I118" s="82">
        <v>100000</v>
      </c>
      <c r="J118" s="82"/>
      <c r="K118" s="82"/>
      <c r="L118" s="82"/>
      <c r="M118" s="82"/>
      <c r="N118" s="82"/>
      <c r="O118" s="82"/>
      <c r="P118" s="82"/>
      <c r="Q118" s="163">
        <f t="shared" si="99"/>
        <v>200000</v>
      </c>
      <c r="R118" s="165" t="s">
        <v>398</v>
      </c>
      <c r="S118" s="165" t="s">
        <v>463</v>
      </c>
      <c r="T118" s="166"/>
      <c r="U118" s="181"/>
      <c r="V118" s="164" t="s">
        <v>398</v>
      </c>
      <c r="W118" s="80" t="s">
        <v>463</v>
      </c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65">
        <f t="shared" si="73"/>
        <v>0</v>
      </c>
      <c r="AK118" s="65">
        <f t="shared" si="120"/>
        <v>0</v>
      </c>
      <c r="AL118" s="205">
        <f t="shared" si="74"/>
        <v>0</v>
      </c>
      <c r="AN118"/>
      <c r="AO118" s="216"/>
      <c r="AP118" s="216"/>
      <c r="AQ118" s="216"/>
      <c r="AR118" s="216"/>
      <c r="AS118" s="216"/>
      <c r="AT118" s="216"/>
      <c r="AU118" s="216"/>
      <c r="AV118" s="216"/>
    </row>
    <row r="119" spans="3:48" s="59" customFormat="1" ht="33.75" customHeight="1" x14ac:dyDescent="0.3">
      <c r="C119" s="66" t="s">
        <v>244</v>
      </c>
      <c r="D119" s="67" t="s">
        <v>464</v>
      </c>
      <c r="E119" s="75">
        <f t="shared" ref="E119:P119" si="134">SUM(E120:E121)</f>
        <v>0</v>
      </c>
      <c r="F119" s="75">
        <f t="shared" si="134"/>
        <v>171250</v>
      </c>
      <c r="G119" s="75">
        <f t="shared" si="134"/>
        <v>0</v>
      </c>
      <c r="H119" s="75">
        <f t="shared" si="134"/>
        <v>0</v>
      </c>
      <c r="I119" s="75">
        <f t="shared" si="134"/>
        <v>26250</v>
      </c>
      <c r="J119" s="75">
        <f t="shared" si="134"/>
        <v>0</v>
      </c>
      <c r="K119" s="75">
        <f t="shared" si="134"/>
        <v>0</v>
      </c>
      <c r="L119" s="75">
        <f t="shared" si="134"/>
        <v>26250</v>
      </c>
      <c r="M119" s="75">
        <f t="shared" si="134"/>
        <v>0</v>
      </c>
      <c r="N119" s="75">
        <f t="shared" si="134"/>
        <v>0</v>
      </c>
      <c r="O119" s="75">
        <f t="shared" si="134"/>
        <v>171250</v>
      </c>
      <c r="P119" s="75">
        <f t="shared" si="134"/>
        <v>0</v>
      </c>
      <c r="Q119" s="169">
        <f t="shared" si="99"/>
        <v>395000</v>
      </c>
      <c r="R119" s="175" t="s">
        <v>244</v>
      </c>
      <c r="S119" s="175" t="s">
        <v>464</v>
      </c>
      <c r="T119" s="176">
        <v>71199</v>
      </c>
      <c r="U119" s="183">
        <f t="shared" ref="U119" si="135">+Q119+T119</f>
        <v>466199</v>
      </c>
      <c r="V119" s="173" t="s">
        <v>244</v>
      </c>
      <c r="W119" s="130" t="s">
        <v>464</v>
      </c>
      <c r="X119" s="131">
        <f>SUM(X120:X121)</f>
        <v>0</v>
      </c>
      <c r="Y119" s="131">
        <f>SUM(Y120:Y121)</f>
        <v>32252.44</v>
      </c>
      <c r="Z119" s="131">
        <f>SUM(Z120:Z121)</f>
        <v>19932.5</v>
      </c>
      <c r="AA119" s="131">
        <f>SUM(AA120:AA121)</f>
        <v>0</v>
      </c>
      <c r="AB119" s="131">
        <f>SUM(AB120:AB121)</f>
        <v>54652.32</v>
      </c>
      <c r="AC119" s="131">
        <v>0</v>
      </c>
      <c r="AD119" s="131">
        <v>0</v>
      </c>
      <c r="AE119" s="131">
        <v>21250</v>
      </c>
      <c r="AF119" s="131">
        <v>86109.88</v>
      </c>
      <c r="AG119" s="131">
        <f>SUM(AG120:AG121)</f>
        <v>0</v>
      </c>
      <c r="AH119" s="131">
        <f>SUM(AH120:AH121)</f>
        <v>0</v>
      </c>
      <c r="AI119" s="131">
        <f>SUM(AI120:AI121)</f>
        <v>0</v>
      </c>
      <c r="AJ119" s="132">
        <f t="shared" si="73"/>
        <v>214197.14</v>
      </c>
      <c r="AK119" s="132">
        <f t="shared" si="120"/>
        <v>252001.86</v>
      </c>
      <c r="AL119" s="204">
        <f t="shared" si="74"/>
        <v>0.4594543102838059</v>
      </c>
      <c r="AN119"/>
      <c r="AO119" s="131">
        <f>IFERROR(AVERAGE(X119:AD119),0)</f>
        <v>15262.465714285716</v>
      </c>
      <c r="AP119" s="131">
        <f>+AO119</f>
        <v>15262.465714285716</v>
      </c>
      <c r="AQ119" s="131">
        <f t="shared" ref="AQ119:AU119" si="136">+AP119</f>
        <v>15262.465714285716</v>
      </c>
      <c r="AR119" s="131">
        <f t="shared" si="136"/>
        <v>15262.465714285716</v>
      </c>
      <c r="AS119" s="131">
        <f t="shared" si="136"/>
        <v>15262.465714285716</v>
      </c>
      <c r="AT119" s="131">
        <f t="shared" si="136"/>
        <v>15262.465714285716</v>
      </c>
      <c r="AU119" s="131">
        <f t="shared" si="136"/>
        <v>15262.465714285716</v>
      </c>
      <c r="AV119" s="217">
        <f>+AK119-AU119</f>
        <v>236739.39428571428</v>
      </c>
    </row>
    <row r="120" spans="3:48" s="83" customFormat="1" ht="33.75" customHeight="1" x14ac:dyDescent="0.25">
      <c r="C120" s="62" t="s">
        <v>394</v>
      </c>
      <c r="D120" s="80" t="s">
        <v>465</v>
      </c>
      <c r="E120" s="86"/>
      <c r="F120" s="86">
        <f>105000/4</f>
        <v>26250</v>
      </c>
      <c r="G120" s="86"/>
      <c r="H120" s="86"/>
      <c r="I120" s="86">
        <f>105000/4</f>
        <v>26250</v>
      </c>
      <c r="J120" s="86"/>
      <c r="K120" s="86"/>
      <c r="L120" s="82">
        <f>105000/4</f>
        <v>26250</v>
      </c>
      <c r="M120" s="86"/>
      <c r="N120" s="82"/>
      <c r="O120" s="82">
        <f>105000/4</f>
        <v>26250</v>
      </c>
      <c r="P120" s="82"/>
      <c r="Q120" s="163">
        <f t="shared" si="99"/>
        <v>105000</v>
      </c>
      <c r="R120" s="165" t="s">
        <v>394</v>
      </c>
      <c r="S120" s="165" t="s">
        <v>465</v>
      </c>
      <c r="T120" s="166"/>
      <c r="U120" s="181"/>
      <c r="V120" s="164" t="s">
        <v>394</v>
      </c>
      <c r="W120" s="80" t="s">
        <v>465</v>
      </c>
      <c r="X120" s="86"/>
      <c r="Y120" s="86">
        <v>32252.44</v>
      </c>
      <c r="Z120" s="86">
        <v>19932.5</v>
      </c>
      <c r="AA120" s="86"/>
      <c r="AB120" s="86">
        <v>54652.32</v>
      </c>
      <c r="AC120" s="86">
        <v>0</v>
      </c>
      <c r="AD120" s="86"/>
      <c r="AE120" s="82"/>
      <c r="AF120" s="86"/>
      <c r="AG120" s="82"/>
      <c r="AH120" s="82"/>
      <c r="AI120" s="82"/>
      <c r="AJ120" s="65">
        <f t="shared" si="73"/>
        <v>106837.26000000001</v>
      </c>
      <c r="AK120" s="65">
        <f t="shared" si="120"/>
        <v>-106837.26000000001</v>
      </c>
      <c r="AL120" s="205">
        <f t="shared" si="74"/>
        <v>0</v>
      </c>
      <c r="AN120"/>
      <c r="AO120" s="216"/>
      <c r="AP120" s="216"/>
      <c r="AQ120" s="216"/>
      <c r="AR120" s="216"/>
      <c r="AS120" s="216"/>
      <c r="AT120" s="216"/>
      <c r="AU120" s="216"/>
      <c r="AV120" s="216"/>
    </row>
    <row r="121" spans="3:48" s="83" customFormat="1" ht="33.75" customHeight="1" x14ac:dyDescent="0.25">
      <c r="C121" s="62" t="s">
        <v>398</v>
      </c>
      <c r="D121" s="80" t="s">
        <v>466</v>
      </c>
      <c r="E121" s="86"/>
      <c r="F121" s="86">
        <f>290000/2</f>
        <v>145000</v>
      </c>
      <c r="G121" s="86"/>
      <c r="H121" s="86"/>
      <c r="I121" s="86"/>
      <c r="J121" s="86"/>
      <c r="K121" s="86"/>
      <c r="L121" s="82"/>
      <c r="M121" s="86"/>
      <c r="N121" s="82"/>
      <c r="O121" s="82">
        <f>290000/2</f>
        <v>145000</v>
      </c>
      <c r="P121" s="82"/>
      <c r="Q121" s="163">
        <f t="shared" si="99"/>
        <v>290000</v>
      </c>
      <c r="R121" s="165" t="s">
        <v>398</v>
      </c>
      <c r="S121" s="165" t="s">
        <v>466</v>
      </c>
      <c r="T121" s="166"/>
      <c r="U121" s="181"/>
      <c r="V121" s="164" t="s">
        <v>398</v>
      </c>
      <c r="W121" s="80" t="s">
        <v>466</v>
      </c>
      <c r="X121" s="86"/>
      <c r="Y121" s="86"/>
      <c r="Z121" s="86"/>
      <c r="AA121" s="86"/>
      <c r="AB121" s="86"/>
      <c r="AC121" s="86"/>
      <c r="AD121" s="86"/>
      <c r="AE121" s="82"/>
      <c r="AF121" s="86"/>
      <c r="AG121" s="82"/>
      <c r="AH121" s="82"/>
      <c r="AI121" s="82"/>
      <c r="AJ121" s="65">
        <f t="shared" si="73"/>
        <v>0</v>
      </c>
      <c r="AK121" s="65">
        <f t="shared" si="120"/>
        <v>0</v>
      </c>
      <c r="AL121" s="205">
        <f t="shared" si="74"/>
        <v>0</v>
      </c>
      <c r="AN121"/>
      <c r="AO121" s="216"/>
      <c r="AP121" s="216"/>
      <c r="AQ121" s="216"/>
      <c r="AR121" s="216"/>
      <c r="AS121" s="216"/>
      <c r="AT121" s="216"/>
      <c r="AU121" s="216"/>
      <c r="AV121" s="216"/>
    </row>
    <row r="122" spans="3:48" s="59" customFormat="1" ht="25.5" customHeight="1" x14ac:dyDescent="0.3">
      <c r="C122" s="66" t="s">
        <v>247</v>
      </c>
      <c r="D122" s="67" t="s">
        <v>467</v>
      </c>
      <c r="E122" s="85"/>
      <c r="F122" s="68">
        <f t="shared" ref="F122:P122" si="137">SUM(F123)</f>
        <v>100000</v>
      </c>
      <c r="G122" s="68">
        <f t="shared" si="137"/>
        <v>0</v>
      </c>
      <c r="H122" s="68">
        <f t="shared" si="137"/>
        <v>0</v>
      </c>
      <c r="I122" s="68">
        <f t="shared" si="137"/>
        <v>100000</v>
      </c>
      <c r="J122" s="68">
        <f t="shared" si="137"/>
        <v>0</v>
      </c>
      <c r="K122" s="68">
        <f t="shared" si="137"/>
        <v>0</v>
      </c>
      <c r="L122" s="68">
        <f t="shared" si="137"/>
        <v>100000</v>
      </c>
      <c r="M122" s="68">
        <f t="shared" si="137"/>
        <v>0</v>
      </c>
      <c r="N122" s="68">
        <f t="shared" si="137"/>
        <v>0</v>
      </c>
      <c r="O122" s="68">
        <f t="shared" si="137"/>
        <v>100000</v>
      </c>
      <c r="P122" s="68">
        <f t="shared" si="137"/>
        <v>0</v>
      </c>
      <c r="Q122" s="169">
        <f t="shared" si="99"/>
        <v>400000</v>
      </c>
      <c r="R122" s="175" t="s">
        <v>247</v>
      </c>
      <c r="S122" s="175" t="s">
        <v>467</v>
      </c>
      <c r="T122" s="176">
        <v>-400000</v>
      </c>
      <c r="U122" s="183">
        <f t="shared" ref="U122" si="138">+Q122+T122</f>
        <v>0</v>
      </c>
      <c r="V122" s="173" t="s">
        <v>247</v>
      </c>
      <c r="W122" s="130" t="s">
        <v>467</v>
      </c>
      <c r="X122" s="131"/>
      <c r="Y122" s="131">
        <f>SUM(Y123)</f>
        <v>0</v>
      </c>
      <c r="Z122" s="131">
        <f>SUM(Z123)</f>
        <v>0</v>
      </c>
      <c r="AA122" s="131">
        <f>SUM(AA123)</f>
        <v>0</v>
      </c>
      <c r="AB122" s="131">
        <f>SUM(AB123)</f>
        <v>0</v>
      </c>
      <c r="AC122" s="131">
        <v>0</v>
      </c>
      <c r="AD122" s="131">
        <v>0</v>
      </c>
      <c r="AE122" s="131">
        <f>SUM(AE123)</f>
        <v>0</v>
      </c>
      <c r="AF122" s="131">
        <f>SUM(AF123)</f>
        <v>0</v>
      </c>
      <c r="AG122" s="131">
        <f>SUM(AG123)</f>
        <v>0</v>
      </c>
      <c r="AH122" s="131">
        <f>SUM(AH123)</f>
        <v>0</v>
      </c>
      <c r="AI122" s="131">
        <f>SUM(AI123)</f>
        <v>0</v>
      </c>
      <c r="AJ122" s="132">
        <f t="shared" si="73"/>
        <v>0</v>
      </c>
      <c r="AK122" s="132">
        <f t="shared" si="120"/>
        <v>0</v>
      </c>
      <c r="AL122" s="204">
        <f t="shared" si="74"/>
        <v>0</v>
      </c>
      <c r="AN122"/>
      <c r="AO122" s="131">
        <f>IFERROR(AVERAGE(X122:AD122),0)</f>
        <v>0</v>
      </c>
      <c r="AP122" s="131">
        <f>+AO122</f>
        <v>0</v>
      </c>
      <c r="AQ122" s="131">
        <f t="shared" ref="AQ122:AU122" si="139">+AP122</f>
        <v>0</v>
      </c>
      <c r="AR122" s="131">
        <f t="shared" si="139"/>
        <v>0</v>
      </c>
      <c r="AS122" s="131">
        <f t="shared" si="139"/>
        <v>0</v>
      </c>
      <c r="AT122" s="131">
        <f t="shared" si="139"/>
        <v>0</v>
      </c>
      <c r="AU122" s="131">
        <f t="shared" si="139"/>
        <v>0</v>
      </c>
      <c r="AV122" s="217">
        <f>+AK122-AU122</f>
        <v>0</v>
      </c>
    </row>
    <row r="123" spans="3:48" s="83" customFormat="1" ht="25.5" customHeight="1" x14ac:dyDescent="0.25">
      <c r="C123" s="62" t="s">
        <v>394</v>
      </c>
      <c r="D123" s="80" t="s">
        <v>468</v>
      </c>
      <c r="E123" s="82"/>
      <c r="F123" s="82">
        <v>100000</v>
      </c>
      <c r="G123" s="82"/>
      <c r="H123" s="82"/>
      <c r="I123" s="82">
        <v>100000</v>
      </c>
      <c r="J123" s="82"/>
      <c r="K123" s="82"/>
      <c r="L123" s="82">
        <v>100000</v>
      </c>
      <c r="M123" s="82"/>
      <c r="N123" s="82"/>
      <c r="O123" s="82">
        <v>100000</v>
      </c>
      <c r="P123" s="82"/>
      <c r="Q123" s="163">
        <f t="shared" si="99"/>
        <v>400000</v>
      </c>
      <c r="R123" s="165" t="s">
        <v>394</v>
      </c>
      <c r="S123" s="165" t="s">
        <v>468</v>
      </c>
      <c r="T123" s="166"/>
      <c r="U123" s="181"/>
      <c r="V123" s="164" t="s">
        <v>394</v>
      </c>
      <c r="W123" s="80" t="s">
        <v>468</v>
      </c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65">
        <f t="shared" si="73"/>
        <v>0</v>
      </c>
      <c r="AK123" s="65">
        <f t="shared" si="120"/>
        <v>0</v>
      </c>
      <c r="AL123" s="205">
        <f t="shared" si="74"/>
        <v>0</v>
      </c>
      <c r="AN123"/>
      <c r="AO123" s="216"/>
      <c r="AP123" s="216"/>
      <c r="AQ123" s="216"/>
      <c r="AR123" s="216"/>
      <c r="AS123" s="216"/>
      <c r="AT123" s="216"/>
      <c r="AU123" s="216"/>
      <c r="AV123" s="216"/>
    </row>
    <row r="124" spans="3:48" s="59" customFormat="1" ht="21" customHeight="1" x14ac:dyDescent="0.3">
      <c r="C124" s="66" t="s">
        <v>252</v>
      </c>
      <c r="D124" s="67" t="s">
        <v>469</v>
      </c>
      <c r="E124" s="68">
        <f t="shared" ref="E124:P124" si="140">SUM(E125)</f>
        <v>0</v>
      </c>
      <c r="F124" s="68">
        <f t="shared" si="140"/>
        <v>50850</v>
      </c>
      <c r="G124" s="68">
        <f t="shared" si="140"/>
        <v>0</v>
      </c>
      <c r="H124" s="68">
        <f t="shared" si="140"/>
        <v>0</v>
      </c>
      <c r="I124" s="68">
        <f t="shared" si="140"/>
        <v>0</v>
      </c>
      <c r="J124" s="68">
        <f t="shared" si="140"/>
        <v>0</v>
      </c>
      <c r="K124" s="68">
        <f t="shared" si="140"/>
        <v>0</v>
      </c>
      <c r="L124" s="68">
        <f t="shared" si="140"/>
        <v>0</v>
      </c>
      <c r="M124" s="68">
        <f t="shared" si="140"/>
        <v>0</v>
      </c>
      <c r="N124" s="68">
        <f t="shared" si="140"/>
        <v>0</v>
      </c>
      <c r="O124" s="68">
        <f t="shared" si="140"/>
        <v>0</v>
      </c>
      <c r="P124" s="68">
        <f t="shared" si="140"/>
        <v>0</v>
      </c>
      <c r="Q124" s="169">
        <f t="shared" si="99"/>
        <v>50850</v>
      </c>
      <c r="R124" s="175" t="s">
        <v>252</v>
      </c>
      <c r="S124" s="175" t="s">
        <v>469</v>
      </c>
      <c r="T124" s="176">
        <v>0</v>
      </c>
      <c r="U124" s="183">
        <f t="shared" ref="U124" si="141">+Q124+T124</f>
        <v>50850</v>
      </c>
      <c r="V124" s="173" t="s">
        <v>252</v>
      </c>
      <c r="W124" s="130" t="s">
        <v>469</v>
      </c>
      <c r="X124" s="131">
        <f>SUM(X125)</f>
        <v>0</v>
      </c>
      <c r="Y124" s="131">
        <f>SUM(Y125)</f>
        <v>0</v>
      </c>
      <c r="Z124" s="131">
        <f>SUM(Z125)</f>
        <v>0</v>
      </c>
      <c r="AA124" s="131">
        <f>SUM(AA125)</f>
        <v>590</v>
      </c>
      <c r="AB124" s="131">
        <f>SUM(AB125)</f>
        <v>21122</v>
      </c>
      <c r="AC124" s="131">
        <v>0</v>
      </c>
      <c r="AD124" s="131">
        <v>0</v>
      </c>
      <c r="AE124" s="131">
        <f>SUM(AE125)</f>
        <v>0</v>
      </c>
      <c r="AF124" s="131">
        <f>SUM(AF125)</f>
        <v>0</v>
      </c>
      <c r="AG124" s="131">
        <f>SUM(AG125)</f>
        <v>0</v>
      </c>
      <c r="AH124" s="131">
        <f>SUM(AH125)</f>
        <v>0</v>
      </c>
      <c r="AI124" s="131">
        <f>SUM(AI125)</f>
        <v>0</v>
      </c>
      <c r="AJ124" s="132">
        <f t="shared" si="73"/>
        <v>21712</v>
      </c>
      <c r="AK124" s="132">
        <f t="shared" si="120"/>
        <v>29138</v>
      </c>
      <c r="AL124" s="204">
        <f t="shared" si="74"/>
        <v>0.42698131760078661</v>
      </c>
      <c r="AN124"/>
      <c r="AO124" s="131">
        <f>IFERROR(AVERAGE(X124:AD124),0)</f>
        <v>3101.7142857142858</v>
      </c>
      <c r="AP124" s="131">
        <f>+AO124</f>
        <v>3101.7142857142858</v>
      </c>
      <c r="AQ124" s="131">
        <f t="shared" ref="AQ124:AU124" si="142">+AP124</f>
        <v>3101.7142857142858</v>
      </c>
      <c r="AR124" s="131">
        <f t="shared" si="142"/>
        <v>3101.7142857142858</v>
      </c>
      <c r="AS124" s="131">
        <f t="shared" si="142"/>
        <v>3101.7142857142858</v>
      </c>
      <c r="AT124" s="131">
        <f t="shared" si="142"/>
        <v>3101.7142857142858</v>
      </c>
      <c r="AU124" s="131">
        <f t="shared" si="142"/>
        <v>3101.7142857142858</v>
      </c>
      <c r="AV124" s="217">
        <f>+AK124-AU124</f>
        <v>26036.285714285714</v>
      </c>
    </row>
    <row r="125" spans="3:48" s="83" customFormat="1" ht="21" customHeight="1" x14ac:dyDescent="0.25">
      <c r="C125" s="62" t="s">
        <v>394</v>
      </c>
      <c r="D125" s="80" t="s">
        <v>470</v>
      </c>
      <c r="E125" s="82"/>
      <c r="F125" s="82">
        <v>50850</v>
      </c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163">
        <f t="shared" si="99"/>
        <v>50850</v>
      </c>
      <c r="R125" s="165" t="s">
        <v>394</v>
      </c>
      <c r="S125" s="165" t="s">
        <v>470</v>
      </c>
      <c r="T125" s="166"/>
      <c r="U125" s="181"/>
      <c r="V125" s="164" t="s">
        <v>394</v>
      </c>
      <c r="W125" s="80" t="s">
        <v>470</v>
      </c>
      <c r="X125" s="82"/>
      <c r="Y125" s="82"/>
      <c r="Z125" s="82"/>
      <c r="AA125" s="82">
        <v>590</v>
      </c>
      <c r="AB125" s="82">
        <v>21122</v>
      </c>
      <c r="AC125" s="82">
        <v>0</v>
      </c>
      <c r="AD125" s="82"/>
      <c r="AE125" s="82"/>
      <c r="AF125" s="82"/>
      <c r="AG125" s="82"/>
      <c r="AH125" s="82"/>
      <c r="AI125" s="82"/>
      <c r="AJ125" s="65">
        <f t="shared" si="73"/>
        <v>21712</v>
      </c>
      <c r="AK125" s="65">
        <f t="shared" si="120"/>
        <v>-21712</v>
      </c>
      <c r="AL125" s="205">
        <f t="shared" si="74"/>
        <v>0</v>
      </c>
      <c r="AN125"/>
      <c r="AO125" s="216"/>
      <c r="AP125" s="216"/>
      <c r="AQ125" s="216"/>
      <c r="AR125" s="216"/>
      <c r="AS125" s="216"/>
      <c r="AT125" s="216"/>
      <c r="AU125" s="216"/>
      <c r="AV125" s="216"/>
    </row>
    <row r="126" spans="3:48" s="59" customFormat="1" ht="31.5" customHeight="1" x14ac:dyDescent="0.3">
      <c r="C126" s="66" t="s">
        <v>255</v>
      </c>
      <c r="D126" s="67" t="s">
        <v>471</v>
      </c>
      <c r="E126" s="68">
        <f t="shared" ref="E126:P126" si="143">SUM(E127)</f>
        <v>0</v>
      </c>
      <c r="F126" s="68">
        <f t="shared" si="143"/>
        <v>1000000</v>
      </c>
      <c r="G126" s="68">
        <f t="shared" si="143"/>
        <v>0</v>
      </c>
      <c r="H126" s="68">
        <f t="shared" si="143"/>
        <v>0</v>
      </c>
      <c r="I126" s="68">
        <f t="shared" si="143"/>
        <v>600000</v>
      </c>
      <c r="J126" s="68">
        <f t="shared" si="143"/>
        <v>0</v>
      </c>
      <c r="K126" s="68">
        <f t="shared" si="143"/>
        <v>0</v>
      </c>
      <c r="L126" s="68">
        <f t="shared" si="143"/>
        <v>200000</v>
      </c>
      <c r="M126" s="68">
        <f t="shared" si="143"/>
        <v>0</v>
      </c>
      <c r="N126" s="68">
        <f t="shared" si="143"/>
        <v>0</v>
      </c>
      <c r="O126" s="68">
        <f t="shared" si="143"/>
        <v>300000</v>
      </c>
      <c r="P126" s="68">
        <f t="shared" si="143"/>
        <v>0</v>
      </c>
      <c r="Q126" s="169">
        <f t="shared" si="99"/>
        <v>2100000</v>
      </c>
      <c r="R126" s="175" t="s">
        <v>255</v>
      </c>
      <c r="S126" s="175" t="s">
        <v>471</v>
      </c>
      <c r="T126" s="176">
        <v>428801</v>
      </c>
      <c r="U126" s="183">
        <f t="shared" ref="U126" si="144">+Q126+T126</f>
        <v>2528801</v>
      </c>
      <c r="V126" s="173" t="s">
        <v>255</v>
      </c>
      <c r="W126" s="130" t="s">
        <v>471</v>
      </c>
      <c r="X126" s="131">
        <f>SUM(X127)</f>
        <v>0</v>
      </c>
      <c r="Y126" s="131">
        <f>SUM(Y127)</f>
        <v>0</v>
      </c>
      <c r="Z126" s="131">
        <f>SUM(Z127)</f>
        <v>0</v>
      </c>
      <c r="AA126" s="131">
        <f>SUM(AA127)</f>
        <v>0</v>
      </c>
      <c r="AB126" s="131">
        <v>0</v>
      </c>
      <c r="AC126" s="131">
        <v>249949.83</v>
      </c>
      <c r="AD126" s="131">
        <v>0</v>
      </c>
      <c r="AE126" s="131">
        <f>SUM(AE127)</f>
        <v>0</v>
      </c>
      <c r="AF126" s="131">
        <v>31199.96</v>
      </c>
      <c r="AG126" s="131">
        <f>SUM(AG127)</f>
        <v>0</v>
      </c>
      <c r="AH126" s="131">
        <f>SUM(AH127)</f>
        <v>0</v>
      </c>
      <c r="AI126" s="131">
        <f>SUM(AI127)</f>
        <v>0</v>
      </c>
      <c r="AJ126" s="132">
        <f t="shared" si="73"/>
        <v>281149.78999999998</v>
      </c>
      <c r="AK126" s="220">
        <f t="shared" si="120"/>
        <v>2247651.21</v>
      </c>
      <c r="AL126" s="204">
        <f t="shared" si="74"/>
        <v>0.11117908842965499</v>
      </c>
      <c r="AN126"/>
      <c r="AO126" s="131">
        <f>IFERROR(AVERAGE(X126:AD126),0)</f>
        <v>35707.118571428568</v>
      </c>
      <c r="AP126" s="131">
        <f>+AO126</f>
        <v>35707.118571428568</v>
      </c>
      <c r="AQ126" s="131">
        <f t="shared" ref="AQ126:AU126" si="145">+AP126</f>
        <v>35707.118571428568</v>
      </c>
      <c r="AR126" s="131">
        <f t="shared" si="145"/>
        <v>35707.118571428568</v>
      </c>
      <c r="AS126" s="131">
        <f t="shared" si="145"/>
        <v>35707.118571428568</v>
      </c>
      <c r="AT126" s="131">
        <f t="shared" si="145"/>
        <v>35707.118571428568</v>
      </c>
      <c r="AU126" s="131">
        <f t="shared" si="145"/>
        <v>35707.118571428568</v>
      </c>
      <c r="AV126" s="217">
        <f>+AK126-AU126</f>
        <v>2211944.0914285714</v>
      </c>
    </row>
    <row r="127" spans="3:48" s="83" customFormat="1" ht="31.5" customHeight="1" x14ac:dyDescent="0.25">
      <c r="C127" s="62" t="s">
        <v>394</v>
      </c>
      <c r="D127" s="80" t="s">
        <v>472</v>
      </c>
      <c r="E127" s="82"/>
      <c r="F127" s="82">
        <v>1000000</v>
      </c>
      <c r="G127" s="82"/>
      <c r="H127" s="82"/>
      <c r="I127" s="82">
        <v>600000</v>
      </c>
      <c r="J127" s="82"/>
      <c r="K127" s="82"/>
      <c r="L127" s="82">
        <v>200000</v>
      </c>
      <c r="M127" s="82"/>
      <c r="N127" s="82"/>
      <c r="O127" s="82">
        <v>300000</v>
      </c>
      <c r="P127" s="82"/>
      <c r="Q127" s="163">
        <f t="shared" ref="Q127:Q158" si="146">SUM(E127:P127)</f>
        <v>2100000</v>
      </c>
      <c r="R127" s="165" t="s">
        <v>394</v>
      </c>
      <c r="S127" s="165" t="s">
        <v>472</v>
      </c>
      <c r="T127" s="166"/>
      <c r="U127" s="181"/>
      <c r="V127" s="164" t="s">
        <v>394</v>
      </c>
      <c r="W127" s="80" t="s">
        <v>472</v>
      </c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65">
        <f t="shared" si="73"/>
        <v>0</v>
      </c>
      <c r="AK127" s="65">
        <f t="shared" si="120"/>
        <v>0</v>
      </c>
      <c r="AL127" s="205">
        <f t="shared" si="74"/>
        <v>0</v>
      </c>
      <c r="AN127"/>
      <c r="AO127" s="216"/>
      <c r="AP127" s="1"/>
      <c r="AQ127" s="216"/>
      <c r="AR127" s="216"/>
      <c r="AS127" s="216"/>
      <c r="AT127" s="216"/>
      <c r="AU127" s="216"/>
      <c r="AV127" s="216"/>
    </row>
    <row r="128" spans="3:48" s="59" customFormat="1" ht="22.5" customHeight="1" x14ac:dyDescent="0.3">
      <c r="C128" s="66" t="s">
        <v>473</v>
      </c>
      <c r="D128" s="67" t="s">
        <v>474</v>
      </c>
      <c r="E128" s="85"/>
      <c r="F128" s="85"/>
      <c r="G128" s="85"/>
      <c r="H128" s="85"/>
      <c r="I128" s="85"/>
      <c r="J128" s="85">
        <v>90000</v>
      </c>
      <c r="K128" s="85"/>
      <c r="L128" s="85"/>
      <c r="M128" s="85"/>
      <c r="N128" s="85"/>
      <c r="O128" s="85"/>
      <c r="P128" s="85"/>
      <c r="Q128" s="169">
        <f t="shared" si="146"/>
        <v>90000</v>
      </c>
      <c r="R128" s="175" t="s">
        <v>473</v>
      </c>
      <c r="S128" s="175" t="s">
        <v>474</v>
      </c>
      <c r="T128" s="176">
        <v>0</v>
      </c>
      <c r="U128" s="183">
        <f t="shared" ref="U128:U130" si="147">+Q128+T128</f>
        <v>90000</v>
      </c>
      <c r="V128" s="173" t="s">
        <v>473</v>
      </c>
      <c r="W128" s="130" t="s">
        <v>474</v>
      </c>
      <c r="X128" s="131"/>
      <c r="Y128" s="131"/>
      <c r="Z128" s="131"/>
      <c r="AA128" s="131"/>
      <c r="AB128" s="131">
        <v>0</v>
      </c>
      <c r="AC128" s="131">
        <v>61600</v>
      </c>
      <c r="AD128" s="131">
        <v>0</v>
      </c>
      <c r="AE128" s="131"/>
      <c r="AF128" s="131"/>
      <c r="AG128" s="131"/>
      <c r="AH128" s="131"/>
      <c r="AI128" s="131"/>
      <c r="AJ128" s="132">
        <f t="shared" si="73"/>
        <v>61600</v>
      </c>
      <c r="AK128" s="132">
        <f t="shared" si="120"/>
        <v>28400</v>
      </c>
      <c r="AL128" s="204">
        <f t="shared" si="74"/>
        <v>0.68444444444444441</v>
      </c>
      <c r="AN128"/>
      <c r="AO128" s="131">
        <f>IFERROR(AVERAGE(X128:AD128),0)</f>
        <v>20533.333333333332</v>
      </c>
      <c r="AP128" s="131">
        <f>+AO128</f>
        <v>20533.333333333332</v>
      </c>
      <c r="AQ128" s="131">
        <f t="shared" ref="AQ128:AU128" si="148">+AP128</f>
        <v>20533.333333333332</v>
      </c>
      <c r="AR128" s="131">
        <f t="shared" si="148"/>
        <v>20533.333333333332</v>
      </c>
      <c r="AS128" s="131">
        <f t="shared" si="148"/>
        <v>20533.333333333332</v>
      </c>
      <c r="AT128" s="131">
        <f t="shared" si="148"/>
        <v>20533.333333333332</v>
      </c>
      <c r="AU128" s="131">
        <f t="shared" si="148"/>
        <v>20533.333333333332</v>
      </c>
      <c r="AV128" s="217">
        <f t="shared" ref="AV128:AV130" si="149">+AK128-AU128</f>
        <v>7866.6666666666679</v>
      </c>
    </row>
    <row r="129" spans="3:48" s="59" customFormat="1" ht="22.5" customHeight="1" x14ac:dyDescent="0.3">
      <c r="C129" s="66" t="s">
        <v>475</v>
      </c>
      <c r="D129" s="67" t="s">
        <v>476</v>
      </c>
      <c r="E129" s="85"/>
      <c r="F129" s="85"/>
      <c r="G129" s="85"/>
      <c r="H129" s="85"/>
      <c r="I129" s="85"/>
      <c r="J129" s="85">
        <v>282000</v>
      </c>
      <c r="K129" s="85"/>
      <c r="L129" s="85"/>
      <c r="M129" s="85"/>
      <c r="N129" s="85"/>
      <c r="O129" s="85"/>
      <c r="P129" s="85"/>
      <c r="Q129" s="169">
        <f t="shared" si="146"/>
        <v>282000</v>
      </c>
      <c r="R129" s="175" t="s">
        <v>475</v>
      </c>
      <c r="S129" s="175" t="s">
        <v>476</v>
      </c>
      <c r="T129" s="176">
        <v>0</v>
      </c>
      <c r="U129" s="183">
        <f t="shared" si="147"/>
        <v>282000</v>
      </c>
      <c r="V129" s="173" t="s">
        <v>475</v>
      </c>
      <c r="W129" s="130" t="s">
        <v>476</v>
      </c>
      <c r="X129" s="131"/>
      <c r="Y129" s="131"/>
      <c r="Z129" s="131"/>
      <c r="AA129" s="131"/>
      <c r="AB129" s="131"/>
      <c r="AC129" s="131"/>
      <c r="AD129" s="131">
        <v>0</v>
      </c>
      <c r="AE129" s="131"/>
      <c r="AF129" s="131"/>
      <c r="AG129" s="131"/>
      <c r="AH129" s="131"/>
      <c r="AI129" s="131"/>
      <c r="AJ129" s="132">
        <f t="shared" si="73"/>
        <v>0</v>
      </c>
      <c r="AK129" s="132">
        <f t="shared" si="120"/>
        <v>282000</v>
      </c>
      <c r="AL129" s="204">
        <f t="shared" si="74"/>
        <v>0</v>
      </c>
      <c r="AN129"/>
      <c r="AO129" s="131">
        <f>IFERROR(AVERAGE(X129:AD129),0)</f>
        <v>0</v>
      </c>
      <c r="AP129" s="131">
        <f>+AO129</f>
        <v>0</v>
      </c>
      <c r="AQ129" s="131">
        <f t="shared" ref="AQ129:AU129" si="150">+AP129</f>
        <v>0</v>
      </c>
      <c r="AR129" s="131">
        <f t="shared" si="150"/>
        <v>0</v>
      </c>
      <c r="AS129" s="131">
        <f t="shared" si="150"/>
        <v>0</v>
      </c>
      <c r="AT129" s="131">
        <f t="shared" si="150"/>
        <v>0</v>
      </c>
      <c r="AU129" s="131">
        <f t="shared" si="150"/>
        <v>0</v>
      </c>
      <c r="AV129" s="217">
        <f t="shared" si="149"/>
        <v>282000</v>
      </c>
    </row>
    <row r="130" spans="3:48" s="59" customFormat="1" ht="22.5" customHeight="1" x14ac:dyDescent="0.3">
      <c r="C130" s="66" t="s">
        <v>261</v>
      </c>
      <c r="D130" s="67" t="s">
        <v>477</v>
      </c>
      <c r="E130" s="68">
        <f t="shared" ref="E130:P130" si="151">SUM(E131:E132)</f>
        <v>0</v>
      </c>
      <c r="F130" s="68">
        <f t="shared" si="151"/>
        <v>1070000</v>
      </c>
      <c r="G130" s="68">
        <f t="shared" si="151"/>
        <v>0</v>
      </c>
      <c r="H130" s="68">
        <f t="shared" si="151"/>
        <v>0</v>
      </c>
      <c r="I130" s="68">
        <f t="shared" si="151"/>
        <v>1310000</v>
      </c>
      <c r="J130" s="68">
        <f t="shared" si="151"/>
        <v>0</v>
      </c>
      <c r="K130" s="68">
        <f t="shared" si="151"/>
        <v>0</v>
      </c>
      <c r="L130" s="68">
        <f t="shared" si="151"/>
        <v>778000</v>
      </c>
      <c r="M130" s="68">
        <f t="shared" si="151"/>
        <v>0</v>
      </c>
      <c r="N130" s="68">
        <f t="shared" si="151"/>
        <v>0</v>
      </c>
      <c r="O130" s="68">
        <f t="shared" si="151"/>
        <v>0</v>
      </c>
      <c r="P130" s="68">
        <f t="shared" si="151"/>
        <v>0</v>
      </c>
      <c r="Q130" s="169">
        <f t="shared" si="146"/>
        <v>3158000</v>
      </c>
      <c r="R130" s="175" t="s">
        <v>261</v>
      </c>
      <c r="S130" s="175" t="s">
        <v>477</v>
      </c>
      <c r="T130" s="176">
        <v>-1418379.68</v>
      </c>
      <c r="U130" s="183">
        <f t="shared" si="147"/>
        <v>1739620.32</v>
      </c>
      <c r="V130" s="173" t="s">
        <v>261</v>
      </c>
      <c r="W130" s="130" t="s">
        <v>477</v>
      </c>
      <c r="X130" s="131">
        <f>SUM(X131:X132)</f>
        <v>0</v>
      </c>
      <c r="Y130" s="131">
        <f>SUM(Y131:Y132)</f>
        <v>0</v>
      </c>
      <c r="Z130" s="131">
        <f>SUM(Z131:Z132)</f>
        <v>0</v>
      </c>
      <c r="AA130" s="131">
        <f>SUM(AA131:AA132)</f>
        <v>0</v>
      </c>
      <c r="AB130" s="131">
        <v>8991.01</v>
      </c>
      <c r="AC130" s="131">
        <v>0</v>
      </c>
      <c r="AD130" s="131">
        <v>0</v>
      </c>
      <c r="AE130" s="131">
        <f>SUM(AE131:AE132)</f>
        <v>0</v>
      </c>
      <c r="AF130" s="131">
        <v>17373</v>
      </c>
      <c r="AG130" s="131">
        <f>SUM(AG131:AG132)</f>
        <v>0</v>
      </c>
      <c r="AH130" s="131">
        <f>SUM(AH131:AH132)</f>
        <v>0</v>
      </c>
      <c r="AI130" s="131">
        <f>SUM(AI131:AI132)</f>
        <v>0</v>
      </c>
      <c r="AJ130" s="132">
        <f t="shared" si="73"/>
        <v>26364.010000000002</v>
      </c>
      <c r="AK130" s="220">
        <f t="shared" si="120"/>
        <v>1713256.31</v>
      </c>
      <c r="AL130" s="204">
        <f t="shared" si="74"/>
        <v>1.5155036818608787E-2</v>
      </c>
      <c r="AN130"/>
      <c r="AO130" s="131">
        <f>IFERROR(AVERAGE(X130:AD130),0)</f>
        <v>1284.43</v>
      </c>
      <c r="AP130" s="131">
        <f>+AO130</f>
        <v>1284.43</v>
      </c>
      <c r="AQ130" s="131">
        <f t="shared" ref="AQ130:AU130" si="152">+AP130</f>
        <v>1284.43</v>
      </c>
      <c r="AR130" s="131">
        <f t="shared" si="152"/>
        <v>1284.43</v>
      </c>
      <c r="AS130" s="131">
        <f t="shared" si="152"/>
        <v>1284.43</v>
      </c>
      <c r="AT130" s="131">
        <f t="shared" si="152"/>
        <v>1284.43</v>
      </c>
      <c r="AU130" s="131">
        <f t="shared" si="152"/>
        <v>1284.43</v>
      </c>
      <c r="AV130" s="217">
        <f t="shared" si="149"/>
        <v>1711971.8800000001</v>
      </c>
    </row>
    <row r="131" spans="3:48" s="59" customFormat="1" ht="22.5" customHeight="1" x14ac:dyDescent="0.25">
      <c r="C131" s="87" t="s">
        <v>394</v>
      </c>
      <c r="D131" s="80" t="s">
        <v>477</v>
      </c>
      <c r="E131" s="82"/>
      <c r="F131" s="82">
        <v>720000</v>
      </c>
      <c r="G131" s="82"/>
      <c r="H131" s="82"/>
      <c r="I131" s="82">
        <v>700000</v>
      </c>
      <c r="J131" s="82"/>
      <c r="K131" s="82"/>
      <c r="L131" s="82">
        <v>700000</v>
      </c>
      <c r="M131" s="82"/>
      <c r="N131" s="82"/>
      <c r="O131" s="82"/>
      <c r="P131" s="82"/>
      <c r="Q131" s="170">
        <f t="shared" si="146"/>
        <v>2120000</v>
      </c>
      <c r="R131" s="178" t="s">
        <v>394</v>
      </c>
      <c r="S131" s="178" t="s">
        <v>477</v>
      </c>
      <c r="T131" s="177"/>
      <c r="U131" s="184"/>
      <c r="V131" s="174" t="s">
        <v>394</v>
      </c>
      <c r="W131" s="80" t="s">
        <v>477</v>
      </c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4">
        <f t="shared" si="73"/>
        <v>0</v>
      </c>
      <c r="AK131" s="84">
        <f t="shared" si="120"/>
        <v>0</v>
      </c>
      <c r="AL131" s="205">
        <f t="shared" si="74"/>
        <v>0</v>
      </c>
      <c r="AN131"/>
      <c r="AO131" s="214"/>
      <c r="AP131" s="214"/>
      <c r="AQ131" s="214"/>
      <c r="AR131" s="214"/>
      <c r="AS131" s="214"/>
      <c r="AT131" s="214"/>
      <c r="AU131" s="214"/>
      <c r="AV131" s="214"/>
    </row>
    <row r="132" spans="3:48" s="59" customFormat="1" ht="22.5" customHeight="1" x14ac:dyDescent="0.25">
      <c r="C132" s="87" t="s">
        <v>396</v>
      </c>
      <c r="D132" s="80" t="s">
        <v>477</v>
      </c>
      <c r="E132" s="82"/>
      <c r="F132" s="82">
        <v>350000</v>
      </c>
      <c r="G132" s="82"/>
      <c r="H132" s="82"/>
      <c r="I132" s="82">
        <v>610000</v>
      </c>
      <c r="J132" s="82"/>
      <c r="K132" s="82"/>
      <c r="L132" s="82">
        <v>78000</v>
      </c>
      <c r="M132" s="82"/>
      <c r="N132" s="82"/>
      <c r="O132" s="82"/>
      <c r="P132" s="82"/>
      <c r="Q132" s="170">
        <f t="shared" si="146"/>
        <v>1038000</v>
      </c>
      <c r="R132" s="178" t="s">
        <v>396</v>
      </c>
      <c r="S132" s="178" t="s">
        <v>477</v>
      </c>
      <c r="T132" s="177"/>
      <c r="U132" s="184"/>
      <c r="V132" s="174" t="s">
        <v>396</v>
      </c>
      <c r="W132" s="80" t="s">
        <v>477</v>
      </c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4">
        <f t="shared" si="73"/>
        <v>0</v>
      </c>
      <c r="AK132" s="84">
        <f t="shared" si="120"/>
        <v>0</v>
      </c>
      <c r="AL132" s="205">
        <f t="shared" si="74"/>
        <v>0</v>
      </c>
      <c r="AN132"/>
      <c r="AO132" s="214"/>
      <c r="AP132" s="214"/>
      <c r="AQ132" s="214"/>
      <c r="AR132" s="214"/>
      <c r="AS132" s="214"/>
      <c r="AT132" s="214"/>
      <c r="AU132" s="214"/>
      <c r="AV132" s="214"/>
    </row>
    <row r="133" spans="3:48" s="59" customFormat="1" ht="22.5" customHeight="1" x14ac:dyDescent="0.3">
      <c r="C133" s="66" t="s">
        <v>267</v>
      </c>
      <c r="D133" s="67" t="s">
        <v>478</v>
      </c>
      <c r="E133" s="85"/>
      <c r="F133" s="85"/>
      <c r="G133" s="85"/>
      <c r="H133" s="85"/>
      <c r="I133" s="68">
        <v>15000</v>
      </c>
      <c r="J133" s="85"/>
      <c r="K133" s="85"/>
      <c r="L133" s="85"/>
      <c r="M133" s="85"/>
      <c r="N133" s="85"/>
      <c r="O133" s="85"/>
      <c r="P133" s="85"/>
      <c r="Q133" s="169">
        <f t="shared" si="146"/>
        <v>15000</v>
      </c>
      <c r="R133" s="175" t="s">
        <v>267</v>
      </c>
      <c r="S133" s="175" t="s">
        <v>478</v>
      </c>
      <c r="T133" s="176">
        <v>0</v>
      </c>
      <c r="U133" s="183">
        <f t="shared" ref="U133:U134" si="153">+Q133+T133</f>
        <v>15000</v>
      </c>
      <c r="V133" s="173" t="s">
        <v>267</v>
      </c>
      <c r="W133" s="130" t="s">
        <v>478</v>
      </c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2">
        <f t="shared" si="73"/>
        <v>0</v>
      </c>
      <c r="AK133" s="132">
        <f t="shared" si="120"/>
        <v>15000</v>
      </c>
      <c r="AL133" s="204">
        <f t="shared" si="74"/>
        <v>0</v>
      </c>
      <c r="AN133"/>
      <c r="AO133" s="131">
        <f>IFERROR(AVERAGE(X133:AD133),0)</f>
        <v>0</v>
      </c>
      <c r="AP133" s="131">
        <f>+AO133</f>
        <v>0</v>
      </c>
      <c r="AQ133" s="131">
        <f t="shared" ref="AQ133:AU133" si="154">+AP133</f>
        <v>0</v>
      </c>
      <c r="AR133" s="131">
        <f t="shared" si="154"/>
        <v>0</v>
      </c>
      <c r="AS133" s="131">
        <f t="shared" si="154"/>
        <v>0</v>
      </c>
      <c r="AT133" s="131">
        <f t="shared" si="154"/>
        <v>0</v>
      </c>
      <c r="AU133" s="131">
        <f t="shared" si="154"/>
        <v>0</v>
      </c>
      <c r="AV133" s="217">
        <f t="shared" ref="AV133:AV134" si="155">+AK133-AU133</f>
        <v>15000</v>
      </c>
    </row>
    <row r="134" spans="3:48" s="59" customFormat="1" ht="18.75" x14ac:dyDescent="0.3">
      <c r="C134" s="66" t="s">
        <v>479</v>
      </c>
      <c r="D134" s="67" t="s">
        <v>480</v>
      </c>
      <c r="E134" s="68">
        <f t="shared" ref="E134:P134" si="156">SUM(E135)</f>
        <v>0</v>
      </c>
      <c r="F134" s="68">
        <f t="shared" si="156"/>
        <v>30000</v>
      </c>
      <c r="G134" s="68">
        <f t="shared" si="156"/>
        <v>0</v>
      </c>
      <c r="H134" s="68">
        <f t="shared" si="156"/>
        <v>0</v>
      </c>
      <c r="I134" s="68">
        <f t="shared" si="156"/>
        <v>30000</v>
      </c>
      <c r="J134" s="68">
        <f t="shared" si="156"/>
        <v>0</v>
      </c>
      <c r="K134" s="68">
        <f t="shared" si="156"/>
        <v>0</v>
      </c>
      <c r="L134" s="68">
        <f t="shared" si="156"/>
        <v>30000</v>
      </c>
      <c r="M134" s="68">
        <f t="shared" si="156"/>
        <v>0</v>
      </c>
      <c r="N134" s="68">
        <f t="shared" si="156"/>
        <v>0</v>
      </c>
      <c r="O134" s="68">
        <f t="shared" si="156"/>
        <v>30000</v>
      </c>
      <c r="P134" s="68">
        <f t="shared" si="156"/>
        <v>0</v>
      </c>
      <c r="Q134" s="169">
        <f t="shared" si="146"/>
        <v>120000</v>
      </c>
      <c r="R134" s="175" t="s">
        <v>479</v>
      </c>
      <c r="S134" s="175" t="s">
        <v>480</v>
      </c>
      <c r="T134" s="176">
        <v>-15000</v>
      </c>
      <c r="U134" s="183">
        <f t="shared" si="153"/>
        <v>105000</v>
      </c>
      <c r="V134" s="173" t="s">
        <v>479</v>
      </c>
      <c r="W134" s="130" t="s">
        <v>480</v>
      </c>
      <c r="X134" s="131">
        <f t="shared" ref="X134:AC134" si="157">SUM(X135)</f>
        <v>0</v>
      </c>
      <c r="Y134" s="131">
        <f t="shared" si="157"/>
        <v>0</v>
      </c>
      <c r="Z134" s="131">
        <f t="shared" si="157"/>
        <v>0</v>
      </c>
      <c r="AA134" s="131">
        <f t="shared" si="157"/>
        <v>0</v>
      </c>
      <c r="AB134" s="131">
        <f t="shared" si="157"/>
        <v>0</v>
      </c>
      <c r="AC134" s="131">
        <f t="shared" si="157"/>
        <v>0</v>
      </c>
      <c r="AD134" s="131">
        <v>0</v>
      </c>
      <c r="AE134" s="131">
        <f>SUM(AE135)</f>
        <v>0</v>
      </c>
      <c r="AF134" s="131">
        <f>SUM(AF135)</f>
        <v>0</v>
      </c>
      <c r="AG134" s="131">
        <f>SUM(AG135)</f>
        <v>0</v>
      </c>
      <c r="AH134" s="131">
        <f>SUM(AH135)</f>
        <v>0</v>
      </c>
      <c r="AI134" s="131">
        <f>SUM(AI135)</f>
        <v>0</v>
      </c>
      <c r="AJ134" s="132">
        <f t="shared" si="73"/>
        <v>0</v>
      </c>
      <c r="AK134" s="132">
        <f t="shared" si="120"/>
        <v>105000</v>
      </c>
      <c r="AL134" s="204">
        <f t="shared" si="74"/>
        <v>0</v>
      </c>
      <c r="AN134"/>
      <c r="AO134" s="131">
        <f>IFERROR(AVERAGE(X134:AD134),0)</f>
        <v>0</v>
      </c>
      <c r="AP134" s="131">
        <f>+AO134</f>
        <v>0</v>
      </c>
      <c r="AQ134" s="131">
        <f t="shared" ref="AQ134:AU134" si="158">+AP134</f>
        <v>0</v>
      </c>
      <c r="AR134" s="131">
        <f t="shared" si="158"/>
        <v>0</v>
      </c>
      <c r="AS134" s="131">
        <f t="shared" si="158"/>
        <v>0</v>
      </c>
      <c r="AT134" s="131">
        <f t="shared" si="158"/>
        <v>0</v>
      </c>
      <c r="AU134" s="131">
        <f t="shared" si="158"/>
        <v>0</v>
      </c>
      <c r="AV134" s="217">
        <f t="shared" si="155"/>
        <v>105000</v>
      </c>
    </row>
    <row r="135" spans="3:48" s="83" customFormat="1" x14ac:dyDescent="0.25">
      <c r="C135" s="62" t="s">
        <v>394</v>
      </c>
      <c r="D135" s="80" t="s">
        <v>481</v>
      </c>
      <c r="E135" s="82"/>
      <c r="F135" s="82">
        <v>30000</v>
      </c>
      <c r="G135" s="82"/>
      <c r="H135" s="82"/>
      <c r="I135" s="82">
        <v>30000</v>
      </c>
      <c r="J135" s="82"/>
      <c r="K135" s="82"/>
      <c r="L135" s="82">
        <v>30000</v>
      </c>
      <c r="M135" s="82"/>
      <c r="N135" s="82"/>
      <c r="O135" s="82">
        <v>30000</v>
      </c>
      <c r="P135" s="82"/>
      <c r="Q135" s="163">
        <f t="shared" si="146"/>
        <v>120000</v>
      </c>
      <c r="R135" s="165" t="s">
        <v>394</v>
      </c>
      <c r="S135" s="165" t="s">
        <v>481</v>
      </c>
      <c r="T135" s="166">
        <v>0</v>
      </c>
      <c r="U135" s="181"/>
      <c r="V135" s="164" t="s">
        <v>394</v>
      </c>
      <c r="W135" s="80" t="s">
        <v>481</v>
      </c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65">
        <f t="shared" si="73"/>
        <v>0</v>
      </c>
      <c r="AK135" s="65">
        <f t="shared" si="120"/>
        <v>0</v>
      </c>
      <c r="AL135" s="205">
        <f t="shared" si="74"/>
        <v>0</v>
      </c>
      <c r="AN135"/>
      <c r="AO135" s="216"/>
      <c r="AP135" s="216"/>
      <c r="AQ135" s="216"/>
      <c r="AR135" s="216"/>
      <c r="AS135" s="216"/>
      <c r="AT135" s="216"/>
      <c r="AU135" s="216"/>
      <c r="AV135" s="216"/>
    </row>
    <row r="136" spans="3:48" s="59" customFormat="1" ht="22.5" customHeight="1" x14ac:dyDescent="0.3">
      <c r="C136" s="66" t="s">
        <v>271</v>
      </c>
      <c r="D136" s="67" t="s">
        <v>482</v>
      </c>
      <c r="E136" s="85"/>
      <c r="F136" s="85"/>
      <c r="G136" s="85">
        <v>100000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169">
        <f t="shared" si="146"/>
        <v>100000</v>
      </c>
      <c r="R136" s="175" t="s">
        <v>271</v>
      </c>
      <c r="S136" s="175" t="s">
        <v>482</v>
      </c>
      <c r="T136" s="176">
        <v>0</v>
      </c>
      <c r="U136" s="183">
        <f t="shared" ref="U136:U139" si="159">+Q136+T136</f>
        <v>100000</v>
      </c>
      <c r="V136" s="173" t="s">
        <v>271</v>
      </c>
      <c r="W136" s="130" t="s">
        <v>482</v>
      </c>
      <c r="X136" s="131"/>
      <c r="Y136" s="131"/>
      <c r="Z136" s="131"/>
      <c r="AA136" s="131"/>
      <c r="AB136" s="131"/>
      <c r="AC136" s="131"/>
      <c r="AD136" s="131"/>
      <c r="AE136" s="131"/>
      <c r="AF136" s="131"/>
      <c r="AG136" s="131"/>
      <c r="AH136" s="131"/>
      <c r="AI136" s="131"/>
      <c r="AJ136" s="132">
        <f t="shared" si="73"/>
        <v>0</v>
      </c>
      <c r="AK136" s="132">
        <f t="shared" si="120"/>
        <v>100000</v>
      </c>
      <c r="AL136" s="204">
        <f t="shared" si="74"/>
        <v>0</v>
      </c>
      <c r="AN136"/>
      <c r="AO136" s="131">
        <f t="shared" ref="AO136:AO139" si="160">IFERROR(AVERAGE(X136:AD136),0)</f>
        <v>0</v>
      </c>
      <c r="AP136" s="131">
        <f>+AO136</f>
        <v>0</v>
      </c>
      <c r="AQ136" s="131">
        <f t="shared" ref="AQ136:AU136" si="161">+AP136</f>
        <v>0</v>
      </c>
      <c r="AR136" s="131">
        <f t="shared" si="161"/>
        <v>0</v>
      </c>
      <c r="AS136" s="131">
        <f t="shared" si="161"/>
        <v>0</v>
      </c>
      <c r="AT136" s="131">
        <f t="shared" si="161"/>
        <v>0</v>
      </c>
      <c r="AU136" s="131">
        <f t="shared" si="161"/>
        <v>0</v>
      </c>
      <c r="AV136" s="217">
        <f t="shared" ref="AV136:AV139" si="162">+AK136-AU136</f>
        <v>100000</v>
      </c>
    </row>
    <row r="137" spans="3:48" s="59" customFormat="1" ht="22.5" customHeight="1" x14ac:dyDescent="0.3">
      <c r="C137" s="66" t="s">
        <v>483</v>
      </c>
      <c r="D137" s="67" t="s">
        <v>484</v>
      </c>
      <c r="E137" s="85"/>
      <c r="F137" s="85"/>
      <c r="G137" s="85"/>
      <c r="H137" s="85"/>
      <c r="I137" s="85"/>
      <c r="J137" s="85">
        <v>80000</v>
      </c>
      <c r="K137" s="85"/>
      <c r="L137" s="85"/>
      <c r="M137" s="85"/>
      <c r="N137" s="85"/>
      <c r="O137" s="85"/>
      <c r="P137" s="85"/>
      <c r="Q137" s="169">
        <f t="shared" si="146"/>
        <v>80000</v>
      </c>
      <c r="R137" s="175" t="s">
        <v>483</v>
      </c>
      <c r="S137" s="175" t="s">
        <v>484</v>
      </c>
      <c r="T137" s="176">
        <v>0</v>
      </c>
      <c r="U137" s="183">
        <f t="shared" si="159"/>
        <v>80000</v>
      </c>
      <c r="V137" s="173" t="s">
        <v>483</v>
      </c>
      <c r="W137" s="130" t="s">
        <v>484</v>
      </c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131"/>
      <c r="AH137" s="131"/>
      <c r="AI137" s="131"/>
      <c r="AJ137" s="132">
        <f t="shared" si="73"/>
        <v>0</v>
      </c>
      <c r="AK137" s="132">
        <f t="shared" si="120"/>
        <v>80000</v>
      </c>
      <c r="AL137" s="204">
        <f t="shared" si="74"/>
        <v>0</v>
      </c>
      <c r="AN137"/>
      <c r="AO137" s="131">
        <f t="shared" si="160"/>
        <v>0</v>
      </c>
      <c r="AP137" s="131">
        <f t="shared" ref="AP137:AU139" si="163">+AO137</f>
        <v>0</v>
      </c>
      <c r="AQ137" s="131">
        <f t="shared" si="163"/>
        <v>0</v>
      </c>
      <c r="AR137" s="131">
        <f t="shared" si="163"/>
        <v>0</v>
      </c>
      <c r="AS137" s="131">
        <f t="shared" si="163"/>
        <v>0</v>
      </c>
      <c r="AT137" s="131">
        <f t="shared" si="163"/>
        <v>0</v>
      </c>
      <c r="AU137" s="131">
        <f t="shared" si="163"/>
        <v>0</v>
      </c>
      <c r="AV137" s="217">
        <f t="shared" si="162"/>
        <v>80000</v>
      </c>
    </row>
    <row r="138" spans="3:48" s="59" customFormat="1" ht="22.5" customHeight="1" x14ac:dyDescent="0.3">
      <c r="C138" s="66" t="s">
        <v>274</v>
      </c>
      <c r="D138" s="67" t="s">
        <v>485</v>
      </c>
      <c r="E138" s="85"/>
      <c r="F138" s="85"/>
      <c r="G138" s="85">
        <v>180000</v>
      </c>
      <c r="H138" s="85"/>
      <c r="I138" s="85"/>
      <c r="J138" s="85"/>
      <c r="K138" s="85"/>
      <c r="L138" s="85">
        <v>135000</v>
      </c>
      <c r="M138" s="85"/>
      <c r="N138" s="85"/>
      <c r="O138" s="85"/>
      <c r="P138" s="85"/>
      <c r="Q138" s="169">
        <f t="shared" si="146"/>
        <v>315000</v>
      </c>
      <c r="R138" s="175" t="s">
        <v>274</v>
      </c>
      <c r="S138" s="175" t="s">
        <v>485</v>
      </c>
      <c r="T138" s="176">
        <v>0</v>
      </c>
      <c r="U138" s="183">
        <f t="shared" si="159"/>
        <v>315000</v>
      </c>
      <c r="V138" s="173" t="s">
        <v>274</v>
      </c>
      <c r="W138" s="130" t="s">
        <v>485</v>
      </c>
      <c r="X138" s="131"/>
      <c r="Y138" s="131"/>
      <c r="Z138" s="131"/>
      <c r="AA138" s="131"/>
      <c r="AB138" s="131">
        <v>5310</v>
      </c>
      <c r="AC138" s="131">
        <v>0</v>
      </c>
      <c r="AD138" s="131">
        <v>0</v>
      </c>
      <c r="AE138" s="131"/>
      <c r="AF138" s="131">
        <v>3500</v>
      </c>
      <c r="AG138" s="131"/>
      <c r="AH138" s="131"/>
      <c r="AI138" s="131"/>
      <c r="AJ138" s="132">
        <f t="shared" ref="AJ138:AJ191" si="164">SUM(X138:AI138)</f>
        <v>8810</v>
      </c>
      <c r="AK138" s="132">
        <f t="shared" si="120"/>
        <v>306190</v>
      </c>
      <c r="AL138" s="204">
        <f t="shared" si="74"/>
        <v>2.7968253968253969E-2</v>
      </c>
      <c r="AN138"/>
      <c r="AO138" s="131">
        <f t="shared" si="160"/>
        <v>1770</v>
      </c>
      <c r="AP138" s="131">
        <f t="shared" si="163"/>
        <v>1770</v>
      </c>
      <c r="AQ138" s="131">
        <f t="shared" si="163"/>
        <v>1770</v>
      </c>
      <c r="AR138" s="131">
        <f t="shared" si="163"/>
        <v>1770</v>
      </c>
      <c r="AS138" s="131">
        <f t="shared" si="163"/>
        <v>1770</v>
      </c>
      <c r="AT138" s="131">
        <f t="shared" si="163"/>
        <v>1770</v>
      </c>
      <c r="AU138" s="131">
        <f t="shared" si="163"/>
        <v>1770</v>
      </c>
      <c r="AV138" s="217">
        <f t="shared" si="162"/>
        <v>304420</v>
      </c>
    </row>
    <row r="139" spans="3:48" s="59" customFormat="1" ht="22.5" customHeight="1" x14ac:dyDescent="0.3">
      <c r="C139" s="66" t="s">
        <v>278</v>
      </c>
      <c r="D139" s="67" t="s">
        <v>486</v>
      </c>
      <c r="E139" s="68">
        <f t="shared" ref="E139:P139" si="165">SUM(E140)</f>
        <v>0</v>
      </c>
      <c r="F139" s="68">
        <f t="shared" si="165"/>
        <v>51265</v>
      </c>
      <c r="G139" s="68">
        <f t="shared" si="165"/>
        <v>0</v>
      </c>
      <c r="H139" s="68">
        <f t="shared" si="165"/>
        <v>0</v>
      </c>
      <c r="I139" s="68">
        <f t="shared" si="165"/>
        <v>80000</v>
      </c>
      <c r="J139" s="68">
        <f t="shared" si="165"/>
        <v>0</v>
      </c>
      <c r="K139" s="68">
        <f t="shared" si="165"/>
        <v>0</v>
      </c>
      <c r="L139" s="68">
        <f t="shared" si="165"/>
        <v>31185</v>
      </c>
      <c r="M139" s="68">
        <f t="shared" si="165"/>
        <v>0</v>
      </c>
      <c r="N139" s="68">
        <f t="shared" si="165"/>
        <v>0</v>
      </c>
      <c r="O139" s="68">
        <f t="shared" si="165"/>
        <v>4425</v>
      </c>
      <c r="P139" s="68">
        <f t="shared" si="165"/>
        <v>0</v>
      </c>
      <c r="Q139" s="169">
        <f t="shared" si="146"/>
        <v>166875</v>
      </c>
      <c r="R139" s="175" t="s">
        <v>278</v>
      </c>
      <c r="S139" s="175" t="s">
        <v>486</v>
      </c>
      <c r="T139" s="176">
        <v>0</v>
      </c>
      <c r="U139" s="183">
        <f t="shared" si="159"/>
        <v>166875</v>
      </c>
      <c r="V139" s="173" t="s">
        <v>278</v>
      </c>
      <c r="W139" s="130" t="s">
        <v>486</v>
      </c>
      <c r="X139" s="131">
        <f>SUM(X140)</f>
        <v>0</v>
      </c>
      <c r="Y139" s="131">
        <f>SUM(Y140)</f>
        <v>0</v>
      </c>
      <c r="Z139" s="131">
        <f>SUM(Z140)</f>
        <v>0</v>
      </c>
      <c r="AA139" s="131">
        <f>SUM(AA140)</f>
        <v>0</v>
      </c>
      <c r="AB139" s="131">
        <v>0</v>
      </c>
      <c r="AC139" s="131">
        <v>0</v>
      </c>
      <c r="AD139" s="131">
        <f t="shared" ref="AD139:AI139" si="166">SUM(AD140)</f>
        <v>0</v>
      </c>
      <c r="AE139" s="131">
        <f t="shared" si="166"/>
        <v>0</v>
      </c>
      <c r="AF139" s="131">
        <v>5714</v>
      </c>
      <c r="AG139" s="131">
        <f t="shared" si="166"/>
        <v>0</v>
      </c>
      <c r="AH139" s="131">
        <f t="shared" si="166"/>
        <v>0</v>
      </c>
      <c r="AI139" s="131">
        <f t="shared" si="166"/>
        <v>0</v>
      </c>
      <c r="AJ139" s="132">
        <f t="shared" si="164"/>
        <v>5714</v>
      </c>
      <c r="AK139" s="132">
        <f t="shared" si="120"/>
        <v>161161</v>
      </c>
      <c r="AL139" s="204">
        <f t="shared" si="74"/>
        <v>3.4241198501872662E-2</v>
      </c>
      <c r="AN139"/>
      <c r="AO139" s="131">
        <f t="shared" si="160"/>
        <v>0</v>
      </c>
      <c r="AP139" s="131">
        <f t="shared" si="163"/>
        <v>0</v>
      </c>
      <c r="AQ139" s="131">
        <f t="shared" si="163"/>
        <v>0</v>
      </c>
      <c r="AR139" s="131">
        <f t="shared" si="163"/>
        <v>0</v>
      </c>
      <c r="AS139" s="131">
        <f t="shared" si="163"/>
        <v>0</v>
      </c>
      <c r="AT139" s="131">
        <f t="shared" si="163"/>
        <v>0</v>
      </c>
      <c r="AU139" s="131">
        <f t="shared" si="163"/>
        <v>0</v>
      </c>
      <c r="AV139" s="217">
        <f t="shared" si="162"/>
        <v>161161</v>
      </c>
    </row>
    <row r="140" spans="3:48" s="83" customFormat="1" ht="22.5" customHeight="1" x14ac:dyDescent="0.25">
      <c r="C140" s="62" t="s">
        <v>394</v>
      </c>
      <c r="D140" s="80" t="s">
        <v>487</v>
      </c>
      <c r="E140" s="82"/>
      <c r="F140" s="82">
        <f>1100+50165</f>
        <v>51265</v>
      </c>
      <c r="G140" s="82"/>
      <c r="H140" s="82"/>
      <c r="I140" s="82">
        <v>80000</v>
      </c>
      <c r="J140" s="82"/>
      <c r="K140" s="82"/>
      <c r="L140" s="82">
        <v>31185</v>
      </c>
      <c r="M140" s="82"/>
      <c r="N140" s="82"/>
      <c r="O140" s="82">
        <v>4425</v>
      </c>
      <c r="P140" s="82"/>
      <c r="Q140" s="163">
        <f t="shared" si="146"/>
        <v>166875</v>
      </c>
      <c r="R140" s="165" t="s">
        <v>394</v>
      </c>
      <c r="S140" s="165" t="s">
        <v>487</v>
      </c>
      <c r="T140" s="166">
        <v>0</v>
      </c>
      <c r="U140" s="181"/>
      <c r="V140" s="164" t="s">
        <v>394</v>
      </c>
      <c r="W140" s="80" t="s">
        <v>487</v>
      </c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65">
        <f t="shared" si="164"/>
        <v>0</v>
      </c>
      <c r="AK140" s="65">
        <f t="shared" ref="AK140:AK171" si="167">+U140-AJ140</f>
        <v>0</v>
      </c>
      <c r="AL140" s="205">
        <f t="shared" si="74"/>
        <v>0</v>
      </c>
      <c r="AN140"/>
      <c r="AO140" s="216"/>
      <c r="AP140" s="216"/>
      <c r="AQ140" s="216"/>
      <c r="AR140" s="216"/>
      <c r="AS140" s="216"/>
      <c r="AT140" s="216"/>
      <c r="AU140" s="216"/>
      <c r="AV140" s="216"/>
    </row>
    <row r="141" spans="3:48" s="59" customFormat="1" ht="23.25" customHeight="1" x14ac:dyDescent="0.3">
      <c r="C141" s="66" t="s">
        <v>488</v>
      </c>
      <c r="D141" s="67" t="s">
        <v>489</v>
      </c>
      <c r="E141" s="85"/>
      <c r="F141" s="85"/>
      <c r="G141" s="85"/>
      <c r="H141" s="85"/>
      <c r="I141" s="68">
        <f>SUM(I142)</f>
        <v>230000</v>
      </c>
      <c r="J141" s="85"/>
      <c r="K141" s="85"/>
      <c r="L141" s="85"/>
      <c r="M141" s="85"/>
      <c r="N141" s="85"/>
      <c r="O141" s="68">
        <f>SUM(O142)</f>
        <v>10000</v>
      </c>
      <c r="P141" s="85"/>
      <c r="Q141" s="169">
        <f t="shared" si="146"/>
        <v>240000</v>
      </c>
      <c r="R141" s="175" t="s">
        <v>488</v>
      </c>
      <c r="S141" s="175" t="s">
        <v>489</v>
      </c>
      <c r="T141" s="176">
        <v>0</v>
      </c>
      <c r="U141" s="183">
        <f t="shared" ref="U141" si="168">+Q141+T141</f>
        <v>240000</v>
      </c>
      <c r="V141" s="173" t="s">
        <v>488</v>
      </c>
      <c r="W141" s="130" t="s">
        <v>489</v>
      </c>
      <c r="X141" s="131"/>
      <c r="Y141" s="131"/>
      <c r="Z141" s="131"/>
      <c r="AA141" s="131"/>
      <c r="AB141" s="131">
        <v>0</v>
      </c>
      <c r="AC141" s="131">
        <v>0</v>
      </c>
      <c r="AD141" s="131">
        <v>0</v>
      </c>
      <c r="AE141" s="131"/>
      <c r="AF141" s="131"/>
      <c r="AG141" s="131"/>
      <c r="AH141" s="131">
        <f>SUM(AH142)</f>
        <v>0</v>
      </c>
      <c r="AI141" s="131"/>
      <c r="AJ141" s="132">
        <f t="shared" si="164"/>
        <v>0</v>
      </c>
      <c r="AK141" s="132">
        <f t="shared" si="167"/>
        <v>240000</v>
      </c>
      <c r="AL141" s="204">
        <f t="shared" ref="AL141:AL192" si="169">IFERROR(AJ141/U141,0)</f>
        <v>0</v>
      </c>
      <c r="AN141"/>
      <c r="AO141" s="131">
        <f>IFERROR(AVERAGE(X141:AD141),0)</f>
        <v>0</v>
      </c>
      <c r="AP141" s="131">
        <f>+AO141</f>
        <v>0</v>
      </c>
      <c r="AQ141" s="131">
        <f t="shared" ref="AQ141:AU141" si="170">+AP141</f>
        <v>0</v>
      </c>
      <c r="AR141" s="131">
        <f t="shared" si="170"/>
        <v>0</v>
      </c>
      <c r="AS141" s="131">
        <f t="shared" si="170"/>
        <v>0</v>
      </c>
      <c r="AT141" s="131">
        <f t="shared" si="170"/>
        <v>0</v>
      </c>
      <c r="AU141" s="131">
        <f t="shared" si="170"/>
        <v>0</v>
      </c>
      <c r="AV141" s="217">
        <f>+AK141-AU141</f>
        <v>240000</v>
      </c>
    </row>
    <row r="142" spans="3:48" s="83" customFormat="1" ht="23.25" customHeight="1" x14ac:dyDescent="0.25">
      <c r="C142" s="62" t="s">
        <v>394</v>
      </c>
      <c r="D142" s="80" t="s">
        <v>490</v>
      </c>
      <c r="E142" s="82"/>
      <c r="F142" s="82"/>
      <c r="G142" s="82"/>
      <c r="H142" s="82"/>
      <c r="I142" s="82">
        <v>230000</v>
      </c>
      <c r="J142" s="82"/>
      <c r="K142" s="82"/>
      <c r="L142" s="82"/>
      <c r="M142" s="82"/>
      <c r="N142" s="82"/>
      <c r="O142" s="82">
        <v>10000</v>
      </c>
      <c r="P142" s="82"/>
      <c r="Q142" s="88">
        <f t="shared" si="146"/>
        <v>240000</v>
      </c>
      <c r="R142" s="165" t="s">
        <v>394</v>
      </c>
      <c r="S142" s="165" t="s">
        <v>490</v>
      </c>
      <c r="T142" s="179"/>
      <c r="U142" s="185"/>
      <c r="V142" s="164" t="s">
        <v>394</v>
      </c>
      <c r="W142" s="80" t="s">
        <v>490</v>
      </c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1">
        <f t="shared" si="164"/>
        <v>0</v>
      </c>
      <c r="AK142" s="81">
        <f t="shared" si="167"/>
        <v>0</v>
      </c>
      <c r="AL142" s="205">
        <f t="shared" si="169"/>
        <v>0</v>
      </c>
      <c r="AN142"/>
      <c r="AO142" s="216"/>
      <c r="AP142" s="216"/>
      <c r="AQ142" s="216"/>
      <c r="AR142" s="216"/>
      <c r="AS142" s="216"/>
      <c r="AT142" s="216"/>
      <c r="AU142" s="216"/>
      <c r="AV142" s="216"/>
    </row>
    <row r="143" spans="3:48" s="59" customFormat="1" ht="32.25" customHeight="1" x14ac:dyDescent="0.3">
      <c r="C143" s="73" t="s">
        <v>285</v>
      </c>
      <c r="D143" s="74" t="s">
        <v>286</v>
      </c>
      <c r="E143" s="75">
        <f t="shared" ref="E143:P143" si="171">SUM(E144:E146)</f>
        <v>262000</v>
      </c>
      <c r="F143" s="75">
        <f t="shared" si="171"/>
        <v>262000</v>
      </c>
      <c r="G143" s="75">
        <f t="shared" si="171"/>
        <v>262000</v>
      </c>
      <c r="H143" s="75">
        <f t="shared" si="171"/>
        <v>262000</v>
      </c>
      <c r="I143" s="75">
        <f t="shared" si="171"/>
        <v>262000</v>
      </c>
      <c r="J143" s="75">
        <f t="shared" si="171"/>
        <v>262000</v>
      </c>
      <c r="K143" s="75">
        <f t="shared" si="171"/>
        <v>262000</v>
      </c>
      <c r="L143" s="75">
        <f t="shared" si="171"/>
        <v>262000</v>
      </c>
      <c r="M143" s="75">
        <f t="shared" si="171"/>
        <v>262000</v>
      </c>
      <c r="N143" s="75">
        <f t="shared" si="171"/>
        <v>262000</v>
      </c>
      <c r="O143" s="75">
        <f t="shared" si="171"/>
        <v>262000</v>
      </c>
      <c r="P143" s="75">
        <f t="shared" si="171"/>
        <v>262000</v>
      </c>
      <c r="Q143" s="171">
        <f t="shared" si="146"/>
        <v>3144000</v>
      </c>
      <c r="R143" s="175" t="s">
        <v>285</v>
      </c>
      <c r="S143" s="175" t="s">
        <v>286</v>
      </c>
      <c r="T143" s="176">
        <v>0</v>
      </c>
      <c r="U143" s="183">
        <f t="shared" ref="U143" si="172">+Q143+T143</f>
        <v>3144000</v>
      </c>
      <c r="V143" s="173" t="s">
        <v>285</v>
      </c>
      <c r="W143" s="130" t="s">
        <v>286</v>
      </c>
      <c r="X143" s="131">
        <f t="shared" ref="X143:AC143" si="173">SUM(X144:X146)</f>
        <v>200100</v>
      </c>
      <c r="Y143" s="131">
        <f t="shared" si="173"/>
        <v>220350</v>
      </c>
      <c r="Z143" s="131">
        <f t="shared" si="173"/>
        <v>212011.2</v>
      </c>
      <c r="AA143" s="131">
        <f t="shared" si="173"/>
        <v>201700</v>
      </c>
      <c r="AB143" s="131">
        <f t="shared" si="173"/>
        <v>190500</v>
      </c>
      <c r="AC143" s="131">
        <f t="shared" si="173"/>
        <v>162035.04999999999</v>
      </c>
      <c r="AD143" s="131">
        <v>790150</v>
      </c>
      <c r="AE143" s="131">
        <v>171150</v>
      </c>
      <c r="AF143" s="131">
        <v>182350</v>
      </c>
      <c r="AG143" s="131">
        <f>SUM(AG144:AG146)</f>
        <v>0</v>
      </c>
      <c r="AH143" s="131">
        <f>SUM(AH144:AH146)</f>
        <v>0</v>
      </c>
      <c r="AI143" s="131">
        <f>SUM(AI144:AI146)</f>
        <v>0</v>
      </c>
      <c r="AJ143" s="132">
        <f t="shared" si="164"/>
        <v>2330346.25</v>
      </c>
      <c r="AK143" s="132">
        <f t="shared" si="167"/>
        <v>813653.75</v>
      </c>
      <c r="AL143" s="204">
        <f t="shared" si="169"/>
        <v>0.74120427798982191</v>
      </c>
      <c r="AN143"/>
      <c r="AO143" s="131">
        <f>IFERROR(AVERAGE(X143:AD143),0)</f>
        <v>282406.60714285716</v>
      </c>
      <c r="AP143" s="68">
        <f>+AO143</f>
        <v>282406.60714285716</v>
      </c>
      <c r="AQ143" s="131">
        <f t="shared" ref="AQ143:AT143" si="174">+AP143</f>
        <v>282406.60714285716</v>
      </c>
      <c r="AR143" s="131">
        <f t="shared" si="174"/>
        <v>282406.60714285716</v>
      </c>
      <c r="AS143" s="131">
        <f t="shared" si="174"/>
        <v>282406.60714285716</v>
      </c>
      <c r="AT143" s="131">
        <f t="shared" si="174"/>
        <v>282406.60714285716</v>
      </c>
      <c r="AU143" s="131">
        <f>SUM(AP143:AT143)</f>
        <v>1412033.0357142859</v>
      </c>
      <c r="AV143" s="217">
        <f>+AK143-AU143</f>
        <v>-598379.28571428591</v>
      </c>
    </row>
    <row r="144" spans="3:48" s="59" customFormat="1" ht="33" customHeight="1" x14ac:dyDescent="0.25">
      <c r="C144" s="62" t="s">
        <v>394</v>
      </c>
      <c r="D144" s="80" t="s">
        <v>491</v>
      </c>
      <c r="E144" s="77">
        <v>150000</v>
      </c>
      <c r="F144" s="77">
        <v>150000</v>
      </c>
      <c r="G144" s="77">
        <v>150000</v>
      </c>
      <c r="H144" s="77">
        <v>150000</v>
      </c>
      <c r="I144" s="77">
        <v>150000</v>
      </c>
      <c r="J144" s="77">
        <v>150000</v>
      </c>
      <c r="K144" s="77">
        <v>150000</v>
      </c>
      <c r="L144" s="77">
        <v>150000</v>
      </c>
      <c r="M144" s="77">
        <v>150000</v>
      </c>
      <c r="N144" s="77">
        <v>150000</v>
      </c>
      <c r="O144" s="77">
        <v>150000</v>
      </c>
      <c r="P144" s="77">
        <v>150000</v>
      </c>
      <c r="Q144" s="163">
        <f t="shared" si="146"/>
        <v>1800000</v>
      </c>
      <c r="R144" s="165" t="s">
        <v>394</v>
      </c>
      <c r="S144" s="165" t="s">
        <v>491</v>
      </c>
      <c r="T144" s="166"/>
      <c r="U144" s="181"/>
      <c r="V144" s="164" t="s">
        <v>394</v>
      </c>
      <c r="W144" s="80" t="s">
        <v>491</v>
      </c>
      <c r="X144" s="86">
        <v>136100</v>
      </c>
      <c r="Y144" s="77">
        <v>155150</v>
      </c>
      <c r="Z144" s="77">
        <v>152111.20000000001</v>
      </c>
      <c r="AA144" s="77">
        <v>140600</v>
      </c>
      <c r="AB144" s="77">
        <v>129400</v>
      </c>
      <c r="AC144" s="77">
        <v>112685.05</v>
      </c>
      <c r="AD144" s="77"/>
      <c r="AE144" s="77"/>
      <c r="AF144" s="77"/>
      <c r="AG144" s="77"/>
      <c r="AH144" s="77"/>
      <c r="AI144" s="77"/>
      <c r="AJ144" s="65">
        <f t="shared" si="164"/>
        <v>826046.25</v>
      </c>
      <c r="AK144" s="65">
        <f t="shared" si="167"/>
        <v>-826046.25</v>
      </c>
      <c r="AL144" s="205">
        <f t="shared" si="169"/>
        <v>0</v>
      </c>
      <c r="AN144"/>
      <c r="AO144" s="214"/>
      <c r="AP144" s="214"/>
      <c r="AQ144" s="214"/>
      <c r="AR144" s="214"/>
      <c r="AS144" s="214"/>
      <c r="AT144" s="214"/>
      <c r="AU144" s="214"/>
      <c r="AV144" s="214"/>
    </row>
    <row r="145" spans="3:48" s="59" customFormat="1" ht="27" customHeight="1" x14ac:dyDescent="0.25">
      <c r="C145" s="62" t="s">
        <v>396</v>
      </c>
      <c r="D145" s="80" t="s">
        <v>492</v>
      </c>
      <c r="E145" s="77">
        <v>62000</v>
      </c>
      <c r="F145" s="77">
        <v>62000</v>
      </c>
      <c r="G145" s="77">
        <v>62000</v>
      </c>
      <c r="H145" s="77">
        <v>62000</v>
      </c>
      <c r="I145" s="77">
        <v>62000</v>
      </c>
      <c r="J145" s="77">
        <v>62000</v>
      </c>
      <c r="K145" s="77">
        <v>62000</v>
      </c>
      <c r="L145" s="77">
        <v>62000</v>
      </c>
      <c r="M145" s="77">
        <v>62000</v>
      </c>
      <c r="N145" s="77">
        <v>62000</v>
      </c>
      <c r="O145" s="77">
        <v>62000</v>
      </c>
      <c r="P145" s="77">
        <v>62000</v>
      </c>
      <c r="Q145" s="163">
        <f t="shared" si="146"/>
        <v>744000</v>
      </c>
      <c r="R145" s="165" t="s">
        <v>396</v>
      </c>
      <c r="S145" s="165" t="s">
        <v>492</v>
      </c>
      <c r="T145" s="166"/>
      <c r="U145" s="181"/>
      <c r="V145" s="164" t="s">
        <v>396</v>
      </c>
      <c r="W145" s="80" t="s">
        <v>492</v>
      </c>
      <c r="X145" s="77">
        <v>36500</v>
      </c>
      <c r="Y145" s="77">
        <v>37700</v>
      </c>
      <c r="Z145" s="77">
        <v>21200</v>
      </c>
      <c r="AA145" s="77">
        <v>22400</v>
      </c>
      <c r="AB145" s="77">
        <v>22400</v>
      </c>
      <c r="AC145" s="77">
        <v>24950</v>
      </c>
      <c r="AD145" s="77"/>
      <c r="AE145" s="77"/>
      <c r="AF145" s="77"/>
      <c r="AG145" s="77"/>
      <c r="AH145" s="77"/>
      <c r="AI145" s="77"/>
      <c r="AJ145" s="65">
        <f t="shared" si="164"/>
        <v>165150</v>
      </c>
      <c r="AK145" s="65">
        <f t="shared" si="167"/>
        <v>-165150</v>
      </c>
      <c r="AL145" s="205">
        <f t="shared" si="169"/>
        <v>0</v>
      </c>
      <c r="AN145"/>
      <c r="AO145" s="214"/>
      <c r="AP145" s="214"/>
      <c r="AQ145" s="214"/>
      <c r="AR145" s="214"/>
      <c r="AS145" s="214"/>
      <c r="AT145" s="214"/>
      <c r="AU145" s="214"/>
      <c r="AV145" s="214"/>
    </row>
    <row r="146" spans="3:48" s="59" customFormat="1" ht="30" customHeight="1" x14ac:dyDescent="0.25">
      <c r="C146" s="62" t="s">
        <v>398</v>
      </c>
      <c r="D146" s="80" t="s">
        <v>493</v>
      </c>
      <c r="E146" s="77">
        <v>50000</v>
      </c>
      <c r="F146" s="77">
        <v>50000</v>
      </c>
      <c r="G146" s="77">
        <v>50000</v>
      </c>
      <c r="H146" s="77">
        <v>50000</v>
      </c>
      <c r="I146" s="77">
        <v>50000</v>
      </c>
      <c r="J146" s="77">
        <v>50000</v>
      </c>
      <c r="K146" s="77">
        <v>50000</v>
      </c>
      <c r="L146" s="77">
        <v>50000</v>
      </c>
      <c r="M146" s="77">
        <v>50000</v>
      </c>
      <c r="N146" s="77">
        <v>50000</v>
      </c>
      <c r="O146" s="77">
        <v>50000</v>
      </c>
      <c r="P146" s="77">
        <v>50000</v>
      </c>
      <c r="Q146" s="163">
        <f t="shared" si="146"/>
        <v>600000</v>
      </c>
      <c r="R146" s="165" t="s">
        <v>398</v>
      </c>
      <c r="S146" s="165" t="s">
        <v>493</v>
      </c>
      <c r="T146" s="166"/>
      <c r="U146" s="181"/>
      <c r="V146" s="164" t="s">
        <v>398</v>
      </c>
      <c r="W146" s="80" t="s">
        <v>493</v>
      </c>
      <c r="X146" s="77">
        <v>27500</v>
      </c>
      <c r="Y146" s="77">
        <v>27500</v>
      </c>
      <c r="Z146" s="77">
        <v>38700</v>
      </c>
      <c r="AA146" s="77">
        <v>38700</v>
      </c>
      <c r="AB146" s="77">
        <v>38700</v>
      </c>
      <c r="AC146" s="77">
        <v>24400</v>
      </c>
      <c r="AD146" s="77"/>
      <c r="AE146" s="77"/>
      <c r="AF146" s="77"/>
      <c r="AG146" s="77"/>
      <c r="AH146" s="77"/>
      <c r="AI146" s="77"/>
      <c r="AJ146" s="65">
        <f t="shared" si="164"/>
        <v>195500</v>
      </c>
      <c r="AK146" s="65">
        <f t="shared" si="167"/>
        <v>-195500</v>
      </c>
      <c r="AL146" s="205">
        <f t="shared" si="169"/>
        <v>0</v>
      </c>
      <c r="AN146"/>
      <c r="AO146" s="214"/>
      <c r="AP146" s="214"/>
      <c r="AQ146" s="214"/>
      <c r="AR146" s="214"/>
      <c r="AS146" s="214"/>
      <c r="AT146" s="214"/>
      <c r="AU146" s="214"/>
      <c r="AV146" s="214"/>
    </row>
    <row r="147" spans="3:48" s="59" customFormat="1" ht="31.5" customHeight="1" x14ac:dyDescent="0.3">
      <c r="C147" s="66" t="s">
        <v>287</v>
      </c>
      <c r="D147" s="67" t="s">
        <v>288</v>
      </c>
      <c r="E147" s="68">
        <v>50000</v>
      </c>
      <c r="F147" s="68">
        <v>50000</v>
      </c>
      <c r="G147" s="68">
        <v>50000</v>
      </c>
      <c r="H147" s="68">
        <v>50000</v>
      </c>
      <c r="I147" s="68">
        <v>50000</v>
      </c>
      <c r="J147" s="68">
        <v>50000</v>
      </c>
      <c r="K147" s="68">
        <v>50000</v>
      </c>
      <c r="L147" s="68">
        <v>50000</v>
      </c>
      <c r="M147" s="68">
        <v>50000</v>
      </c>
      <c r="N147" s="68">
        <v>50000</v>
      </c>
      <c r="O147" s="68">
        <v>50000</v>
      </c>
      <c r="P147" s="68">
        <v>50000</v>
      </c>
      <c r="Q147" s="169">
        <f t="shared" si="146"/>
        <v>600000</v>
      </c>
      <c r="R147" s="175" t="s">
        <v>287</v>
      </c>
      <c r="S147" s="175" t="s">
        <v>288</v>
      </c>
      <c r="T147" s="176">
        <v>-10200</v>
      </c>
      <c r="U147" s="183">
        <f t="shared" ref="U147:U152" si="175">+Q147+T147</f>
        <v>589800</v>
      </c>
      <c r="V147" s="173" t="s">
        <v>287</v>
      </c>
      <c r="W147" s="130" t="s">
        <v>288</v>
      </c>
      <c r="X147" s="131">
        <f>VLOOKUP(V147,'Reporte Devengado Aprobado'!B:P,3,FALSE)</f>
        <v>0</v>
      </c>
      <c r="Y147" s="131"/>
      <c r="Z147" s="131"/>
      <c r="AA147" s="131"/>
      <c r="AB147" s="131"/>
      <c r="AC147" s="131">
        <v>0</v>
      </c>
      <c r="AD147" s="131">
        <v>63000</v>
      </c>
      <c r="AE147" s="131"/>
      <c r="AF147" s="131"/>
      <c r="AG147" s="131"/>
      <c r="AH147" s="131"/>
      <c r="AI147" s="131"/>
      <c r="AJ147" s="132">
        <f t="shared" si="164"/>
        <v>63000</v>
      </c>
      <c r="AK147" s="200">
        <f t="shared" si="167"/>
        <v>526800</v>
      </c>
      <c r="AL147" s="204">
        <f t="shared" si="169"/>
        <v>0.10681586978636826</v>
      </c>
      <c r="AN147"/>
      <c r="AO147" s="131">
        <v>0</v>
      </c>
      <c r="AP147" s="131">
        <f>+AO147</f>
        <v>0</v>
      </c>
      <c r="AQ147" s="131">
        <f t="shared" ref="AQ147:AU147" si="176">+AP147</f>
        <v>0</v>
      </c>
      <c r="AR147" s="131">
        <f t="shared" si="176"/>
        <v>0</v>
      </c>
      <c r="AS147" s="131">
        <f t="shared" si="176"/>
        <v>0</v>
      </c>
      <c r="AT147" s="131">
        <f t="shared" si="176"/>
        <v>0</v>
      </c>
      <c r="AU147" s="131">
        <f t="shared" si="176"/>
        <v>0</v>
      </c>
      <c r="AV147" s="217">
        <f t="shared" ref="AV147:AV152" si="177">+AK147-AU147</f>
        <v>526800</v>
      </c>
    </row>
    <row r="148" spans="3:48" s="59" customFormat="1" ht="31.5" customHeight="1" x14ac:dyDescent="0.3">
      <c r="C148" s="66" t="s">
        <v>580</v>
      </c>
      <c r="D148" s="67" t="s">
        <v>581</v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169">
        <f t="shared" si="146"/>
        <v>0</v>
      </c>
      <c r="R148" s="175" t="s">
        <v>580</v>
      </c>
      <c r="S148" s="175" t="s">
        <v>581</v>
      </c>
      <c r="T148" s="176">
        <v>12500</v>
      </c>
      <c r="U148" s="183">
        <f t="shared" si="175"/>
        <v>12500</v>
      </c>
      <c r="V148" s="173" t="s">
        <v>580</v>
      </c>
      <c r="W148" s="130" t="s">
        <v>581</v>
      </c>
      <c r="X148" s="131"/>
      <c r="Y148" s="131"/>
      <c r="Z148" s="131"/>
      <c r="AA148" s="131"/>
      <c r="AB148" s="131"/>
      <c r="AC148" s="131">
        <v>0</v>
      </c>
      <c r="AD148" s="131">
        <v>0</v>
      </c>
      <c r="AE148" s="131"/>
      <c r="AF148" s="131"/>
      <c r="AG148" s="131"/>
      <c r="AH148" s="131"/>
      <c r="AI148" s="131"/>
      <c r="AJ148" s="132">
        <f t="shared" si="164"/>
        <v>0</v>
      </c>
      <c r="AK148" s="132">
        <f t="shared" si="167"/>
        <v>12500</v>
      </c>
      <c r="AL148" s="204">
        <f t="shared" si="169"/>
        <v>0</v>
      </c>
      <c r="AN148"/>
      <c r="AO148" s="131">
        <f t="shared" ref="AO148:AO152" si="178">IFERROR(AVERAGE(X148:AD148),0)</f>
        <v>0</v>
      </c>
      <c r="AP148" s="131">
        <f t="shared" ref="AP148:AU152" si="179">+AO148</f>
        <v>0</v>
      </c>
      <c r="AQ148" s="131">
        <f t="shared" si="179"/>
        <v>0</v>
      </c>
      <c r="AR148" s="131">
        <f t="shared" si="179"/>
        <v>0</v>
      </c>
      <c r="AS148" s="131">
        <f t="shared" si="179"/>
        <v>0</v>
      </c>
      <c r="AT148" s="131">
        <f t="shared" si="179"/>
        <v>0</v>
      </c>
      <c r="AU148" s="131">
        <f t="shared" si="179"/>
        <v>0</v>
      </c>
      <c r="AV148" s="217">
        <f t="shared" si="177"/>
        <v>12500</v>
      </c>
    </row>
    <row r="149" spans="3:48" s="59" customFormat="1" ht="31.5" customHeight="1" x14ac:dyDescent="0.3">
      <c r="C149" s="66" t="s">
        <v>289</v>
      </c>
      <c r="D149" s="67" t="s">
        <v>290</v>
      </c>
      <c r="E149" s="68"/>
      <c r="F149" s="68">
        <v>15000</v>
      </c>
      <c r="G149" s="68"/>
      <c r="H149" s="68"/>
      <c r="I149" s="68"/>
      <c r="J149" s="68"/>
      <c r="K149" s="68"/>
      <c r="L149" s="68">
        <v>15000</v>
      </c>
      <c r="M149" s="68"/>
      <c r="N149" s="68"/>
      <c r="O149" s="68"/>
      <c r="P149" s="68"/>
      <c r="Q149" s="169">
        <f t="shared" si="146"/>
        <v>30000</v>
      </c>
      <c r="R149" s="175" t="s">
        <v>289</v>
      </c>
      <c r="S149" s="175" t="s">
        <v>290</v>
      </c>
      <c r="T149" s="176">
        <v>-12500</v>
      </c>
      <c r="U149" s="183">
        <f t="shared" si="175"/>
        <v>17500</v>
      </c>
      <c r="V149" s="173" t="s">
        <v>289</v>
      </c>
      <c r="W149" s="130" t="s">
        <v>290</v>
      </c>
      <c r="X149" s="131">
        <f>VLOOKUP(V149,'Reporte Devengado Aprobado'!B:P,3,FALSE)</f>
        <v>0</v>
      </c>
      <c r="Y149" s="131"/>
      <c r="Z149" s="131"/>
      <c r="AA149" s="131"/>
      <c r="AB149" s="131"/>
      <c r="AC149" s="131">
        <v>0</v>
      </c>
      <c r="AD149" s="131">
        <v>0</v>
      </c>
      <c r="AE149" s="131"/>
      <c r="AF149" s="131"/>
      <c r="AG149" s="131"/>
      <c r="AH149" s="131"/>
      <c r="AI149" s="131"/>
      <c r="AJ149" s="132">
        <f t="shared" si="164"/>
        <v>0</v>
      </c>
      <c r="AK149" s="132">
        <f t="shared" si="167"/>
        <v>17500</v>
      </c>
      <c r="AL149" s="204">
        <f t="shared" si="169"/>
        <v>0</v>
      </c>
      <c r="AN149"/>
      <c r="AO149" s="131">
        <f t="shared" si="178"/>
        <v>0</v>
      </c>
      <c r="AP149" s="131">
        <f t="shared" si="179"/>
        <v>0</v>
      </c>
      <c r="AQ149" s="131">
        <f t="shared" si="179"/>
        <v>0</v>
      </c>
      <c r="AR149" s="131">
        <f t="shared" si="179"/>
        <v>0</v>
      </c>
      <c r="AS149" s="131">
        <f t="shared" si="179"/>
        <v>0</v>
      </c>
      <c r="AT149" s="131">
        <f t="shared" si="179"/>
        <v>0</v>
      </c>
      <c r="AU149" s="131">
        <f t="shared" si="179"/>
        <v>0</v>
      </c>
      <c r="AV149" s="217">
        <f t="shared" si="177"/>
        <v>17500</v>
      </c>
    </row>
    <row r="150" spans="3:48" s="59" customFormat="1" ht="31.5" customHeight="1" x14ac:dyDescent="0.3">
      <c r="C150" s="66" t="s">
        <v>295</v>
      </c>
      <c r="D150" s="67" t="s">
        <v>296</v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169">
        <f t="shared" si="146"/>
        <v>0</v>
      </c>
      <c r="R150" s="175" t="s">
        <v>295</v>
      </c>
      <c r="S150" s="175" t="s">
        <v>296</v>
      </c>
      <c r="T150" s="176">
        <v>15576</v>
      </c>
      <c r="U150" s="183">
        <f t="shared" si="175"/>
        <v>15576</v>
      </c>
      <c r="V150" s="173" t="s">
        <v>295</v>
      </c>
      <c r="W150" s="130" t="s">
        <v>296</v>
      </c>
      <c r="X150" s="131"/>
      <c r="Y150" s="131"/>
      <c r="Z150" s="131"/>
      <c r="AA150" s="131"/>
      <c r="AB150" s="131">
        <v>8800</v>
      </c>
      <c r="AC150" s="131">
        <v>0</v>
      </c>
      <c r="AD150" s="131">
        <v>0</v>
      </c>
      <c r="AE150" s="131"/>
      <c r="AF150" s="131"/>
      <c r="AG150" s="131"/>
      <c r="AH150" s="131"/>
      <c r="AI150" s="131"/>
      <c r="AJ150" s="132">
        <f t="shared" si="164"/>
        <v>8800</v>
      </c>
      <c r="AK150" s="132">
        <f t="shared" si="167"/>
        <v>6776</v>
      </c>
      <c r="AL150" s="204">
        <f t="shared" si="169"/>
        <v>0.56497175141242939</v>
      </c>
      <c r="AN150"/>
      <c r="AO150" s="131">
        <f t="shared" si="178"/>
        <v>2933.3333333333335</v>
      </c>
      <c r="AP150" s="131">
        <f t="shared" si="179"/>
        <v>2933.3333333333335</v>
      </c>
      <c r="AQ150" s="131">
        <f t="shared" si="179"/>
        <v>2933.3333333333335</v>
      </c>
      <c r="AR150" s="131">
        <f t="shared" si="179"/>
        <v>2933.3333333333335</v>
      </c>
      <c r="AS150" s="131">
        <f t="shared" si="179"/>
        <v>2933.3333333333335</v>
      </c>
      <c r="AT150" s="131">
        <f t="shared" si="179"/>
        <v>2933.3333333333335</v>
      </c>
      <c r="AU150" s="131">
        <f t="shared" si="179"/>
        <v>2933.3333333333335</v>
      </c>
      <c r="AV150" s="217">
        <f t="shared" si="177"/>
        <v>3842.6666666666665</v>
      </c>
    </row>
    <row r="151" spans="3:48" s="59" customFormat="1" ht="31.5" customHeight="1" x14ac:dyDescent="0.3">
      <c r="C151" s="66" t="s">
        <v>297</v>
      </c>
      <c r="D151" s="67" t="s">
        <v>494</v>
      </c>
      <c r="E151" s="68"/>
      <c r="F151" s="68"/>
      <c r="G151" s="68"/>
      <c r="H151" s="68"/>
      <c r="I151" s="68">
        <v>70000</v>
      </c>
      <c r="J151" s="68"/>
      <c r="K151" s="68"/>
      <c r="L151" s="68"/>
      <c r="M151" s="68"/>
      <c r="N151" s="68"/>
      <c r="O151" s="68"/>
      <c r="P151" s="68"/>
      <c r="Q151" s="169">
        <f t="shared" si="146"/>
        <v>70000</v>
      </c>
      <c r="R151" s="175" t="s">
        <v>297</v>
      </c>
      <c r="S151" s="175" t="s">
        <v>494</v>
      </c>
      <c r="T151" s="176">
        <v>0</v>
      </c>
      <c r="U151" s="183">
        <f t="shared" si="175"/>
        <v>70000</v>
      </c>
      <c r="V151" s="173" t="s">
        <v>297</v>
      </c>
      <c r="W151" s="130" t="s">
        <v>494</v>
      </c>
      <c r="X151" s="131">
        <f>VLOOKUP(V151,'Reporte Devengado Aprobado'!B:P,3,FALSE)</f>
        <v>0</v>
      </c>
      <c r="Y151" s="131"/>
      <c r="Z151" s="131"/>
      <c r="AA151" s="131"/>
      <c r="AB151" s="131"/>
      <c r="AC151" s="131"/>
      <c r="AD151" s="131"/>
      <c r="AE151" s="131"/>
      <c r="AF151" s="131">
        <v>10906</v>
      </c>
      <c r="AG151" s="131"/>
      <c r="AH151" s="131"/>
      <c r="AI151" s="131"/>
      <c r="AJ151" s="132">
        <f t="shared" si="164"/>
        <v>10906</v>
      </c>
      <c r="AK151" s="132">
        <f t="shared" si="167"/>
        <v>59094</v>
      </c>
      <c r="AL151" s="204">
        <f t="shared" si="169"/>
        <v>0.15579999999999999</v>
      </c>
      <c r="AN151"/>
      <c r="AO151" s="131">
        <f t="shared" si="178"/>
        <v>0</v>
      </c>
      <c r="AP151" s="131">
        <f t="shared" si="179"/>
        <v>0</v>
      </c>
      <c r="AQ151" s="131">
        <f t="shared" si="179"/>
        <v>0</v>
      </c>
      <c r="AR151" s="131">
        <f t="shared" si="179"/>
        <v>0</v>
      </c>
      <c r="AS151" s="131">
        <f t="shared" si="179"/>
        <v>0</v>
      </c>
      <c r="AT151" s="131">
        <f t="shared" si="179"/>
        <v>0</v>
      </c>
      <c r="AU151" s="131">
        <f t="shared" si="179"/>
        <v>0</v>
      </c>
      <c r="AV151" s="217">
        <f t="shared" si="177"/>
        <v>59094</v>
      </c>
    </row>
    <row r="152" spans="3:48" s="59" customFormat="1" ht="34.5" customHeight="1" x14ac:dyDescent="0.3">
      <c r="C152" s="66" t="s">
        <v>302</v>
      </c>
      <c r="D152" s="67" t="s">
        <v>495</v>
      </c>
      <c r="E152" s="75">
        <f t="shared" ref="E152:P152" si="180">SUM(E153:E153)</f>
        <v>0</v>
      </c>
      <c r="F152" s="75">
        <f t="shared" si="180"/>
        <v>200000</v>
      </c>
      <c r="G152" s="75">
        <f t="shared" si="180"/>
        <v>0</v>
      </c>
      <c r="H152" s="75">
        <f t="shared" si="180"/>
        <v>0</v>
      </c>
      <c r="I152" s="75">
        <f t="shared" si="180"/>
        <v>350000</v>
      </c>
      <c r="J152" s="75">
        <f t="shared" si="180"/>
        <v>0</v>
      </c>
      <c r="K152" s="75">
        <f t="shared" si="180"/>
        <v>0</v>
      </c>
      <c r="L152" s="75">
        <f t="shared" si="180"/>
        <v>0</v>
      </c>
      <c r="M152" s="75">
        <f t="shared" si="180"/>
        <v>0</v>
      </c>
      <c r="N152" s="75">
        <f t="shared" si="180"/>
        <v>610000</v>
      </c>
      <c r="O152" s="75">
        <f t="shared" si="180"/>
        <v>0</v>
      </c>
      <c r="P152" s="75">
        <f t="shared" si="180"/>
        <v>0</v>
      </c>
      <c r="Q152" s="169">
        <f t="shared" si="146"/>
        <v>1160000</v>
      </c>
      <c r="R152" s="175" t="s">
        <v>302</v>
      </c>
      <c r="S152" s="175" t="s">
        <v>495</v>
      </c>
      <c r="T152" s="176">
        <v>-210983.05</v>
      </c>
      <c r="U152" s="183">
        <f t="shared" si="175"/>
        <v>949016.95</v>
      </c>
      <c r="V152" s="173" t="s">
        <v>302</v>
      </c>
      <c r="W152" s="130" t="s">
        <v>495</v>
      </c>
      <c r="X152" s="131">
        <f>SUM(X153:X153)</f>
        <v>0</v>
      </c>
      <c r="Y152" s="131">
        <f>SUM(Y153:Y153)</f>
        <v>0</v>
      </c>
      <c r="Z152" s="131">
        <f>SUM(Z153:Z153)</f>
        <v>0</v>
      </c>
      <c r="AA152" s="131">
        <f>SUM(AA153:AA153)</f>
        <v>0</v>
      </c>
      <c r="AB152" s="131">
        <f>SUM(AB153:AB153)</f>
        <v>22211.37</v>
      </c>
      <c r="AC152" s="131">
        <v>0</v>
      </c>
      <c r="AD152" s="131">
        <v>0</v>
      </c>
      <c r="AE152" s="131">
        <f>SUM(AE153:AE153)</f>
        <v>0</v>
      </c>
      <c r="AF152" s="131">
        <v>21955.63</v>
      </c>
      <c r="AG152" s="131">
        <f>SUM(AG153:AG153)</f>
        <v>0</v>
      </c>
      <c r="AH152" s="131">
        <f>SUM(AH153:AH153)</f>
        <v>0</v>
      </c>
      <c r="AI152" s="131">
        <f>SUM(AI153:AI153)</f>
        <v>0</v>
      </c>
      <c r="AJ152" s="132">
        <f t="shared" si="164"/>
        <v>44167</v>
      </c>
      <c r="AK152" s="220">
        <f t="shared" si="167"/>
        <v>904849.95</v>
      </c>
      <c r="AL152" s="204">
        <f t="shared" si="169"/>
        <v>4.6539737778129253E-2</v>
      </c>
      <c r="AN152"/>
      <c r="AO152" s="131">
        <f t="shared" si="178"/>
        <v>3173.0528571428572</v>
      </c>
      <c r="AP152" s="131">
        <f t="shared" si="179"/>
        <v>3173.0528571428572</v>
      </c>
      <c r="AQ152" s="131">
        <f t="shared" si="179"/>
        <v>3173.0528571428572</v>
      </c>
      <c r="AR152" s="131">
        <f t="shared" si="179"/>
        <v>3173.0528571428572</v>
      </c>
      <c r="AS152" s="131">
        <f t="shared" si="179"/>
        <v>3173.0528571428572</v>
      </c>
      <c r="AT152" s="131">
        <f t="shared" si="179"/>
        <v>3173.0528571428572</v>
      </c>
      <c r="AU152" s="131">
        <f t="shared" si="179"/>
        <v>3173.0528571428572</v>
      </c>
      <c r="AV152" s="217">
        <f t="shared" si="177"/>
        <v>901676.89714285708</v>
      </c>
    </row>
    <row r="153" spans="3:48" s="83" customFormat="1" ht="34.5" customHeight="1" x14ac:dyDescent="0.25">
      <c r="C153" s="62" t="s">
        <v>394</v>
      </c>
      <c r="D153" s="80" t="s">
        <v>496</v>
      </c>
      <c r="E153" s="86"/>
      <c r="F153" s="86">
        <v>200000</v>
      </c>
      <c r="G153" s="86"/>
      <c r="H153" s="86"/>
      <c r="I153" s="86">
        <v>350000</v>
      </c>
      <c r="J153" s="86"/>
      <c r="K153" s="86"/>
      <c r="L153" s="86"/>
      <c r="M153" s="86"/>
      <c r="N153" s="86">
        <v>610000</v>
      </c>
      <c r="O153" s="86"/>
      <c r="P153" s="86"/>
      <c r="Q153" s="163">
        <f t="shared" si="146"/>
        <v>1160000</v>
      </c>
      <c r="R153" s="165" t="s">
        <v>394</v>
      </c>
      <c r="S153" s="165" t="s">
        <v>496</v>
      </c>
      <c r="T153" s="166"/>
      <c r="U153" s="181"/>
      <c r="V153" s="164" t="s">
        <v>394</v>
      </c>
      <c r="W153" s="80" t="s">
        <v>496</v>
      </c>
      <c r="X153" s="86"/>
      <c r="Y153" s="86"/>
      <c r="Z153" s="86"/>
      <c r="AA153" s="86"/>
      <c r="AB153" s="86">
        <v>22211.37</v>
      </c>
      <c r="AC153" s="86"/>
      <c r="AD153" s="86"/>
      <c r="AE153" s="86"/>
      <c r="AF153" s="86"/>
      <c r="AG153" s="86"/>
      <c r="AH153" s="86"/>
      <c r="AI153" s="86"/>
      <c r="AJ153" s="65">
        <f t="shared" si="164"/>
        <v>22211.37</v>
      </c>
      <c r="AK153" s="65">
        <f t="shared" si="167"/>
        <v>-22211.37</v>
      </c>
      <c r="AL153" s="205">
        <f t="shared" si="169"/>
        <v>0</v>
      </c>
      <c r="AN153"/>
      <c r="AO153" s="216"/>
      <c r="AP153" s="216"/>
      <c r="AQ153" s="216"/>
      <c r="AR153" s="216"/>
      <c r="AS153" s="216"/>
      <c r="AT153" s="216"/>
      <c r="AU153" s="216"/>
      <c r="AV153" s="216"/>
    </row>
    <row r="154" spans="3:48" s="59" customFormat="1" ht="42.75" customHeight="1" x14ac:dyDescent="0.3">
      <c r="C154" s="66" t="s">
        <v>305</v>
      </c>
      <c r="D154" s="67" t="s">
        <v>497</v>
      </c>
      <c r="E154" s="75">
        <f t="shared" ref="E154:P154" si="181">SUM(E155:E157)</f>
        <v>0</v>
      </c>
      <c r="F154" s="75">
        <f t="shared" si="181"/>
        <v>450000</v>
      </c>
      <c r="G154" s="75">
        <f t="shared" si="181"/>
        <v>0</v>
      </c>
      <c r="H154" s="75">
        <f t="shared" si="181"/>
        <v>0</v>
      </c>
      <c r="I154" s="75">
        <f t="shared" si="181"/>
        <v>1032299</v>
      </c>
      <c r="J154" s="75">
        <f t="shared" si="181"/>
        <v>0</v>
      </c>
      <c r="K154" s="75">
        <f t="shared" si="181"/>
        <v>0</v>
      </c>
      <c r="L154" s="75">
        <f t="shared" si="181"/>
        <v>1542864</v>
      </c>
      <c r="M154" s="75">
        <f t="shared" si="181"/>
        <v>0</v>
      </c>
      <c r="N154" s="75">
        <f t="shared" si="181"/>
        <v>0</v>
      </c>
      <c r="O154" s="75">
        <f t="shared" si="181"/>
        <v>118799</v>
      </c>
      <c r="P154" s="75">
        <f t="shared" si="181"/>
        <v>0</v>
      </c>
      <c r="Q154" s="169">
        <f t="shared" si="146"/>
        <v>3143962</v>
      </c>
      <c r="R154" s="175" t="s">
        <v>305</v>
      </c>
      <c r="S154" s="175" t="s">
        <v>497</v>
      </c>
      <c r="T154" s="176">
        <v>0</v>
      </c>
      <c r="U154" s="183">
        <f t="shared" ref="U154" si="182">+Q154+T154</f>
        <v>3143962</v>
      </c>
      <c r="V154" s="173" t="s">
        <v>305</v>
      </c>
      <c r="W154" s="130" t="s">
        <v>497</v>
      </c>
      <c r="X154" s="131">
        <f>SUM(X155:X157)</f>
        <v>0</v>
      </c>
      <c r="Y154" s="131">
        <f>SUM(Y155:Y157)</f>
        <v>0</v>
      </c>
      <c r="Z154" s="131">
        <f>SUM(Z155:Z157)</f>
        <v>167831.4</v>
      </c>
      <c r="AA154" s="131">
        <f>SUM(AA155:AA157)</f>
        <v>598496</v>
      </c>
      <c r="AB154" s="131">
        <f>SUM(AB155:AB157)</f>
        <v>36420.480000000003</v>
      </c>
      <c r="AC154" s="131">
        <v>0</v>
      </c>
      <c r="AD154" s="131">
        <v>0</v>
      </c>
      <c r="AE154" s="131">
        <v>640032.22</v>
      </c>
      <c r="AF154" s="131">
        <f>SUM(AF155:AF157)</f>
        <v>0</v>
      </c>
      <c r="AG154" s="131">
        <f>SUM(AG155:AG157)</f>
        <v>0</v>
      </c>
      <c r="AH154" s="131">
        <f>SUM(AH155:AH157)</f>
        <v>0</v>
      </c>
      <c r="AI154" s="131">
        <f>SUM(AI155:AI157)</f>
        <v>0</v>
      </c>
      <c r="AJ154" s="132">
        <f t="shared" si="164"/>
        <v>1442780.1</v>
      </c>
      <c r="AK154" s="220">
        <f t="shared" si="167"/>
        <v>1701181.9</v>
      </c>
      <c r="AL154" s="204">
        <f t="shared" si="169"/>
        <v>0.45890506946330778</v>
      </c>
      <c r="AN154"/>
      <c r="AO154" s="131">
        <f>IFERROR(AVERAGE(X154:AD154),0)</f>
        <v>114678.26857142858</v>
      </c>
      <c r="AP154" s="131">
        <f>+AO154</f>
        <v>114678.26857142858</v>
      </c>
      <c r="AQ154" s="131">
        <f t="shared" ref="AQ154:AT154" si="183">+AP154</f>
        <v>114678.26857142858</v>
      </c>
      <c r="AR154" s="131">
        <f t="shared" si="183"/>
        <v>114678.26857142858</v>
      </c>
      <c r="AS154" s="131">
        <f t="shared" si="183"/>
        <v>114678.26857142858</v>
      </c>
      <c r="AT154" s="131">
        <f t="shared" si="183"/>
        <v>114678.26857142858</v>
      </c>
      <c r="AU154" s="131">
        <f t="shared" ref="AU154" si="184">SUM(AP154:AT154)</f>
        <v>573391.34285714291</v>
      </c>
      <c r="AV154" s="217">
        <f>+AK154-AU154</f>
        <v>1127790.557142857</v>
      </c>
    </row>
    <row r="155" spans="3:48" s="83" customFormat="1" ht="42.75" customHeight="1" x14ac:dyDescent="0.25">
      <c r="C155" s="62" t="s">
        <v>394</v>
      </c>
      <c r="D155" s="80" t="s">
        <v>498</v>
      </c>
      <c r="E155" s="86"/>
      <c r="F155" s="86">
        <v>375000</v>
      </c>
      <c r="G155" s="86"/>
      <c r="H155" s="86"/>
      <c r="I155" s="82">
        <v>975000</v>
      </c>
      <c r="J155" s="86"/>
      <c r="K155" s="82"/>
      <c r="L155" s="82">
        <f>1159704+133160</f>
        <v>1292864</v>
      </c>
      <c r="M155" s="86"/>
      <c r="N155" s="86"/>
      <c r="O155" s="86"/>
      <c r="P155" s="86"/>
      <c r="Q155" s="163">
        <f t="shared" si="146"/>
        <v>2642864</v>
      </c>
      <c r="R155" s="165" t="s">
        <v>394</v>
      </c>
      <c r="S155" s="165" t="s">
        <v>498</v>
      </c>
      <c r="T155" s="166"/>
      <c r="U155" s="181"/>
      <c r="V155" s="164" t="s">
        <v>394</v>
      </c>
      <c r="W155" s="80" t="s">
        <v>498</v>
      </c>
      <c r="X155" s="86"/>
      <c r="Y155" s="86"/>
      <c r="Z155" s="86">
        <v>167831.4</v>
      </c>
      <c r="AA155" s="86">
        <v>598496</v>
      </c>
      <c r="AB155" s="82">
        <v>36420.480000000003</v>
      </c>
      <c r="AC155" s="86"/>
      <c r="AD155" s="82"/>
      <c r="AE155" s="82"/>
      <c r="AF155" s="86"/>
      <c r="AG155" s="86"/>
      <c r="AH155" s="86"/>
      <c r="AI155" s="86"/>
      <c r="AJ155" s="65">
        <f t="shared" si="164"/>
        <v>802747.88</v>
      </c>
      <c r="AK155" s="65">
        <f t="shared" si="167"/>
        <v>-802747.88</v>
      </c>
      <c r="AL155" s="205">
        <f t="shared" si="169"/>
        <v>0</v>
      </c>
      <c r="AN155"/>
      <c r="AO155" s="216"/>
      <c r="AP155" s="216"/>
      <c r="AQ155" s="216"/>
      <c r="AR155" s="216"/>
      <c r="AS155" s="216"/>
      <c r="AT155" s="216"/>
      <c r="AU155" s="216"/>
      <c r="AV155" s="216"/>
    </row>
    <row r="156" spans="3:48" s="83" customFormat="1" ht="42.75" customHeight="1" x14ac:dyDescent="0.25">
      <c r="C156" s="62" t="s">
        <v>396</v>
      </c>
      <c r="D156" s="80" t="s">
        <v>499</v>
      </c>
      <c r="E156" s="86"/>
      <c r="F156" s="86">
        <v>75000</v>
      </c>
      <c r="G156" s="86"/>
      <c r="H156" s="86"/>
      <c r="I156" s="82">
        <v>57299</v>
      </c>
      <c r="J156" s="86"/>
      <c r="K156" s="82"/>
      <c r="L156" s="82">
        <v>250000</v>
      </c>
      <c r="M156" s="86"/>
      <c r="N156" s="86"/>
      <c r="O156" s="86">
        <v>56717</v>
      </c>
      <c r="P156" s="86"/>
      <c r="Q156" s="163">
        <f t="shared" si="146"/>
        <v>439016</v>
      </c>
      <c r="R156" s="165" t="s">
        <v>396</v>
      </c>
      <c r="S156" s="165" t="s">
        <v>499</v>
      </c>
      <c r="T156" s="166"/>
      <c r="U156" s="181"/>
      <c r="V156" s="164" t="s">
        <v>396</v>
      </c>
      <c r="W156" s="80" t="s">
        <v>499</v>
      </c>
      <c r="X156" s="86"/>
      <c r="Y156" s="86"/>
      <c r="Z156" s="86"/>
      <c r="AA156" s="86"/>
      <c r="AB156" s="82"/>
      <c r="AC156" s="86"/>
      <c r="AD156" s="82"/>
      <c r="AE156" s="82"/>
      <c r="AF156" s="86"/>
      <c r="AG156" s="86"/>
      <c r="AH156" s="86"/>
      <c r="AI156" s="86"/>
      <c r="AJ156" s="65">
        <f t="shared" si="164"/>
        <v>0</v>
      </c>
      <c r="AK156" s="65">
        <f t="shared" si="167"/>
        <v>0</v>
      </c>
      <c r="AL156" s="205">
        <f t="shared" si="169"/>
        <v>0</v>
      </c>
      <c r="AN156"/>
      <c r="AO156" s="216"/>
      <c r="AP156" s="216"/>
      <c r="AQ156" s="216"/>
      <c r="AR156" s="216"/>
      <c r="AS156" s="216"/>
      <c r="AT156" s="216"/>
      <c r="AU156" s="216"/>
      <c r="AV156" s="216"/>
    </row>
    <row r="157" spans="3:48" s="83" customFormat="1" ht="42.75" customHeight="1" x14ac:dyDescent="0.25">
      <c r="C157" s="62" t="s">
        <v>398</v>
      </c>
      <c r="D157" s="80" t="s">
        <v>500</v>
      </c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>
        <v>62082</v>
      </c>
      <c r="P157" s="86"/>
      <c r="Q157" s="163">
        <f t="shared" si="146"/>
        <v>62082</v>
      </c>
      <c r="R157" s="165" t="s">
        <v>398</v>
      </c>
      <c r="S157" s="165" t="s">
        <v>500</v>
      </c>
      <c r="T157" s="166"/>
      <c r="U157" s="181"/>
      <c r="V157" s="164" t="s">
        <v>398</v>
      </c>
      <c r="W157" s="80" t="s">
        <v>500</v>
      </c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65">
        <f t="shared" si="164"/>
        <v>0</v>
      </c>
      <c r="AK157" s="65">
        <f t="shared" si="167"/>
        <v>0</v>
      </c>
      <c r="AL157" s="205">
        <f t="shared" si="169"/>
        <v>0</v>
      </c>
      <c r="AN157"/>
      <c r="AO157" s="216"/>
      <c r="AP157" s="216"/>
      <c r="AQ157" s="216"/>
      <c r="AR157" s="216"/>
      <c r="AS157" s="216"/>
      <c r="AT157" s="216"/>
      <c r="AU157" s="216"/>
      <c r="AV157" s="216"/>
    </row>
    <row r="158" spans="3:48" s="59" customFormat="1" ht="30.75" customHeight="1" x14ac:dyDescent="0.3">
      <c r="C158" s="66" t="s">
        <v>308</v>
      </c>
      <c r="D158" s="67" t="s">
        <v>547</v>
      </c>
      <c r="E158" s="75">
        <f t="shared" ref="E158:P158" si="185">SUM(E159)</f>
        <v>0</v>
      </c>
      <c r="F158" s="75">
        <f t="shared" si="185"/>
        <v>0</v>
      </c>
      <c r="G158" s="75">
        <f t="shared" si="185"/>
        <v>0</v>
      </c>
      <c r="H158" s="75">
        <f t="shared" si="185"/>
        <v>0</v>
      </c>
      <c r="I158" s="75">
        <f t="shared" si="185"/>
        <v>0</v>
      </c>
      <c r="J158" s="75">
        <f t="shared" si="185"/>
        <v>0</v>
      </c>
      <c r="K158" s="75">
        <f t="shared" si="185"/>
        <v>0</v>
      </c>
      <c r="L158" s="75">
        <f t="shared" si="185"/>
        <v>0</v>
      </c>
      <c r="M158" s="75">
        <f t="shared" si="185"/>
        <v>0</v>
      </c>
      <c r="N158" s="75">
        <f t="shared" si="185"/>
        <v>0</v>
      </c>
      <c r="O158" s="75">
        <f t="shared" si="185"/>
        <v>0</v>
      </c>
      <c r="P158" s="75">
        <f t="shared" si="185"/>
        <v>0</v>
      </c>
      <c r="Q158" s="169">
        <f t="shared" si="146"/>
        <v>0</v>
      </c>
      <c r="R158" s="175" t="s">
        <v>308</v>
      </c>
      <c r="S158" s="175" t="s">
        <v>547</v>
      </c>
      <c r="T158" s="176">
        <v>100000</v>
      </c>
      <c r="U158" s="183">
        <f t="shared" ref="U158" si="186">+Q158+T158</f>
        <v>100000</v>
      </c>
      <c r="V158" s="173" t="str">
        <f>+C158</f>
        <v>2.3.9.3.01</v>
      </c>
      <c r="W158" s="129" t="str">
        <f>+D158</f>
        <v>Utiles menores quirúrgico y Laboratorio</v>
      </c>
      <c r="X158" s="131">
        <f>SUM(X159)</f>
        <v>0</v>
      </c>
      <c r="Y158" s="131">
        <f>SUM(Y159)</f>
        <v>0</v>
      </c>
      <c r="Z158" s="131">
        <f>SUM(Z159)</f>
        <v>0</v>
      </c>
      <c r="AA158" s="131">
        <f>SUM(AA159)</f>
        <v>72865</v>
      </c>
      <c r="AB158" s="131">
        <v>0</v>
      </c>
      <c r="AC158" s="131">
        <v>0</v>
      </c>
      <c r="AD158" s="131">
        <v>0</v>
      </c>
      <c r="AE158" s="131">
        <f>SUM(AE159)</f>
        <v>0</v>
      </c>
      <c r="AF158" s="131">
        <v>103599.75</v>
      </c>
      <c r="AG158" s="131">
        <f>SUM(AG159)</f>
        <v>0</v>
      </c>
      <c r="AH158" s="131">
        <f>SUM(AH159)</f>
        <v>0</v>
      </c>
      <c r="AI158" s="131">
        <f>SUM(AI159)</f>
        <v>0</v>
      </c>
      <c r="AJ158" s="132">
        <f t="shared" si="164"/>
        <v>176464.75</v>
      </c>
      <c r="AK158" s="132">
        <f t="shared" si="167"/>
        <v>-76464.75</v>
      </c>
      <c r="AL158" s="204">
        <f t="shared" si="169"/>
        <v>1.7646474999999999</v>
      </c>
      <c r="AN158"/>
      <c r="AO158" s="131">
        <f>IFERROR(AVERAGE(X158:AD158),0)</f>
        <v>10409.285714285714</v>
      </c>
      <c r="AP158" s="131">
        <f>+AO158</f>
        <v>10409.285714285714</v>
      </c>
      <c r="AQ158" s="131">
        <f t="shared" ref="AQ158:AT158" si="187">+AP158</f>
        <v>10409.285714285714</v>
      </c>
      <c r="AR158" s="131">
        <f t="shared" si="187"/>
        <v>10409.285714285714</v>
      </c>
      <c r="AS158" s="131">
        <f t="shared" si="187"/>
        <v>10409.285714285714</v>
      </c>
      <c r="AT158" s="131">
        <f t="shared" si="187"/>
        <v>10409.285714285714</v>
      </c>
      <c r="AU158" s="131">
        <f t="shared" ref="AU158:AU166" si="188">SUM(AP158:AT158)</f>
        <v>52046.428571428565</v>
      </c>
      <c r="AV158" s="217">
        <f>+AK158-AU158</f>
        <v>-128511.17857142857</v>
      </c>
    </row>
    <row r="159" spans="3:48" s="83" customFormat="1" ht="30.75" customHeight="1" x14ac:dyDescent="0.25">
      <c r="C159" s="62" t="s">
        <v>394</v>
      </c>
      <c r="D159" s="80" t="str">
        <f>+D158</f>
        <v>Utiles menores quirúrgico y Laboratorio</v>
      </c>
      <c r="E159" s="86"/>
      <c r="F159" s="86"/>
      <c r="G159" s="86"/>
      <c r="H159" s="86"/>
      <c r="I159" s="82"/>
      <c r="J159" s="86"/>
      <c r="K159" s="82"/>
      <c r="L159" s="82"/>
      <c r="M159" s="86"/>
      <c r="N159" s="86"/>
      <c r="O159" s="86"/>
      <c r="P159" s="86"/>
      <c r="Q159" s="163">
        <f t="shared" ref="Q159:Q190" si="189">SUM(E159:P159)</f>
        <v>0</v>
      </c>
      <c r="R159" s="165" t="s">
        <v>394</v>
      </c>
      <c r="S159" s="165" t="s">
        <v>547</v>
      </c>
      <c r="T159" s="166"/>
      <c r="U159" s="181"/>
      <c r="V159" s="164" t="s">
        <v>394</v>
      </c>
      <c r="W159" s="80" t="str">
        <f>+D159</f>
        <v>Utiles menores quirúrgico y Laboratorio</v>
      </c>
      <c r="X159" s="86"/>
      <c r="Y159" s="86"/>
      <c r="Z159" s="86"/>
      <c r="AA159" s="86">
        <v>72865</v>
      </c>
      <c r="AB159" s="82"/>
      <c r="AC159" s="86"/>
      <c r="AD159" s="82"/>
      <c r="AE159" s="82"/>
      <c r="AF159" s="86"/>
      <c r="AG159" s="86"/>
      <c r="AH159" s="86"/>
      <c r="AI159" s="86"/>
      <c r="AJ159" s="65">
        <f t="shared" si="164"/>
        <v>72865</v>
      </c>
      <c r="AK159" s="65">
        <f t="shared" si="167"/>
        <v>-72865</v>
      </c>
      <c r="AL159" s="205">
        <f t="shared" si="169"/>
        <v>0</v>
      </c>
      <c r="AN159"/>
      <c r="AO159" s="216"/>
      <c r="AP159" s="216"/>
      <c r="AQ159" s="216"/>
      <c r="AR159" s="216"/>
      <c r="AS159" s="216"/>
      <c r="AT159" s="216"/>
      <c r="AU159" s="216"/>
      <c r="AV159" s="216"/>
    </row>
    <row r="160" spans="3:48" s="59" customFormat="1" ht="30.75" customHeight="1" x14ac:dyDescent="0.3">
      <c r="C160" s="66" t="s">
        <v>311</v>
      </c>
      <c r="D160" s="67" t="s">
        <v>501</v>
      </c>
      <c r="E160" s="75">
        <f t="shared" ref="E160:P160" si="190">SUM(E161)</f>
        <v>0</v>
      </c>
      <c r="F160" s="75">
        <f t="shared" si="190"/>
        <v>150000</v>
      </c>
      <c r="G160" s="75">
        <f t="shared" si="190"/>
        <v>0</v>
      </c>
      <c r="H160" s="75">
        <f t="shared" si="190"/>
        <v>0</v>
      </c>
      <c r="I160" s="75">
        <f t="shared" si="190"/>
        <v>225000</v>
      </c>
      <c r="J160" s="75">
        <f t="shared" si="190"/>
        <v>0</v>
      </c>
      <c r="K160" s="75">
        <f t="shared" si="190"/>
        <v>0</v>
      </c>
      <c r="L160" s="75">
        <f t="shared" si="190"/>
        <v>608296</v>
      </c>
      <c r="M160" s="75">
        <f t="shared" si="190"/>
        <v>0</v>
      </c>
      <c r="N160" s="75">
        <f t="shared" si="190"/>
        <v>0</v>
      </c>
      <c r="O160" s="75">
        <f t="shared" si="190"/>
        <v>650</v>
      </c>
      <c r="P160" s="75">
        <f t="shared" si="190"/>
        <v>0</v>
      </c>
      <c r="Q160" s="169">
        <f t="shared" si="189"/>
        <v>983946</v>
      </c>
      <c r="R160" s="175" t="s">
        <v>311</v>
      </c>
      <c r="S160" s="175" t="s">
        <v>501</v>
      </c>
      <c r="T160" s="202">
        <v>-500000</v>
      </c>
      <c r="U160" s="183">
        <f t="shared" ref="U160" si="191">+Q160+T160</f>
        <v>483946</v>
      </c>
      <c r="V160" s="173" t="s">
        <v>311</v>
      </c>
      <c r="W160" s="130" t="s">
        <v>501</v>
      </c>
      <c r="X160" s="131">
        <f>SUM(X161)</f>
        <v>0</v>
      </c>
      <c r="Y160" s="131">
        <f>SUM(Y161)</f>
        <v>0</v>
      </c>
      <c r="Z160" s="131">
        <f>SUM(Z161)</f>
        <v>0</v>
      </c>
      <c r="AA160" s="131">
        <f>SUM(AA161)</f>
        <v>111333</v>
      </c>
      <c r="AB160" s="131">
        <f>SUM(AB161)</f>
        <v>26146.68</v>
      </c>
      <c r="AC160" s="131">
        <v>0</v>
      </c>
      <c r="AD160" s="131">
        <v>0</v>
      </c>
      <c r="AE160" s="131">
        <f>SUM(AE161)</f>
        <v>0</v>
      </c>
      <c r="AF160" s="131">
        <v>6991.3</v>
      </c>
      <c r="AG160" s="131">
        <f>SUM(AG161)</f>
        <v>0</v>
      </c>
      <c r="AH160" s="131">
        <f>SUM(AH161)</f>
        <v>0</v>
      </c>
      <c r="AI160" s="131">
        <f>SUM(AI161)</f>
        <v>0</v>
      </c>
      <c r="AJ160" s="132">
        <f t="shared" si="164"/>
        <v>144470.97999999998</v>
      </c>
      <c r="AK160" s="132">
        <f t="shared" si="167"/>
        <v>339475.02</v>
      </c>
      <c r="AL160" s="204">
        <f t="shared" si="169"/>
        <v>0.29852706706946641</v>
      </c>
      <c r="AN160"/>
      <c r="AO160" s="131">
        <f>IFERROR(AVERAGE(X160:AD160),0)</f>
        <v>19639.954285714284</v>
      </c>
      <c r="AP160" s="131">
        <f>+AO160</f>
        <v>19639.954285714284</v>
      </c>
      <c r="AQ160" s="131">
        <f t="shared" ref="AQ160:AT160" si="192">+AP160</f>
        <v>19639.954285714284</v>
      </c>
      <c r="AR160" s="131">
        <f t="shared" si="192"/>
        <v>19639.954285714284</v>
      </c>
      <c r="AS160" s="131">
        <f t="shared" si="192"/>
        <v>19639.954285714284</v>
      </c>
      <c r="AT160" s="131">
        <f t="shared" si="192"/>
        <v>19639.954285714284</v>
      </c>
      <c r="AU160" s="131">
        <f t="shared" si="188"/>
        <v>98199.771428571417</v>
      </c>
      <c r="AV160" s="217">
        <f>+AK160-AU160</f>
        <v>241275.24857142859</v>
      </c>
    </row>
    <row r="161" spans="3:48" s="83" customFormat="1" ht="30.75" customHeight="1" x14ac:dyDescent="0.25">
      <c r="C161" s="62" t="s">
        <v>394</v>
      </c>
      <c r="D161" s="80" t="s">
        <v>502</v>
      </c>
      <c r="E161" s="86"/>
      <c r="F161" s="86">
        <v>150000</v>
      </c>
      <c r="G161" s="86"/>
      <c r="H161" s="86"/>
      <c r="I161" s="82">
        <v>225000</v>
      </c>
      <c r="J161" s="86"/>
      <c r="K161" s="82"/>
      <c r="L161" s="82">
        <v>608296</v>
      </c>
      <c r="M161" s="86"/>
      <c r="N161" s="86"/>
      <c r="O161" s="86">
        <v>650</v>
      </c>
      <c r="P161" s="86"/>
      <c r="Q161" s="163">
        <f t="shared" si="189"/>
        <v>983946</v>
      </c>
      <c r="R161" s="165" t="s">
        <v>394</v>
      </c>
      <c r="S161" s="165" t="s">
        <v>502</v>
      </c>
      <c r="T161" s="166"/>
      <c r="U161" s="181"/>
      <c r="V161" s="164" t="s">
        <v>394</v>
      </c>
      <c r="W161" s="80" t="s">
        <v>502</v>
      </c>
      <c r="X161" s="86"/>
      <c r="Y161" s="86"/>
      <c r="Z161" s="86"/>
      <c r="AA161" s="86">
        <v>111333</v>
      </c>
      <c r="AB161" s="82">
        <v>26146.68</v>
      </c>
      <c r="AC161" s="86"/>
      <c r="AD161" s="82"/>
      <c r="AE161" s="82"/>
      <c r="AF161" s="86"/>
      <c r="AG161" s="86"/>
      <c r="AH161" s="86"/>
      <c r="AI161" s="86"/>
      <c r="AJ161" s="65">
        <f t="shared" si="164"/>
        <v>137479.67999999999</v>
      </c>
      <c r="AK161" s="65">
        <f t="shared" si="167"/>
        <v>-137479.67999999999</v>
      </c>
      <c r="AL161" s="205">
        <f t="shared" si="169"/>
        <v>0</v>
      </c>
      <c r="AN161"/>
      <c r="AO161" s="216"/>
      <c r="AP161" s="216"/>
      <c r="AQ161" s="216"/>
      <c r="AR161" s="216"/>
      <c r="AS161" s="216"/>
      <c r="AT161" s="216"/>
      <c r="AU161" s="216"/>
      <c r="AV161" s="216"/>
    </row>
    <row r="162" spans="3:48" s="59" customFormat="1" ht="25.5" customHeight="1" x14ac:dyDescent="0.3">
      <c r="C162" s="66" t="s">
        <v>314</v>
      </c>
      <c r="D162" s="67" t="s">
        <v>503</v>
      </c>
      <c r="E162" s="75">
        <f t="shared" ref="E162:P162" si="193">SUM(E163)</f>
        <v>0</v>
      </c>
      <c r="F162" s="75">
        <f t="shared" si="193"/>
        <v>29800</v>
      </c>
      <c r="G162" s="75">
        <f t="shared" si="193"/>
        <v>0</v>
      </c>
      <c r="H162" s="75">
        <f t="shared" si="193"/>
        <v>0</v>
      </c>
      <c r="I162" s="75">
        <f t="shared" si="193"/>
        <v>0</v>
      </c>
      <c r="J162" s="75">
        <f t="shared" si="193"/>
        <v>0</v>
      </c>
      <c r="K162" s="75">
        <f t="shared" si="193"/>
        <v>0</v>
      </c>
      <c r="L162" s="75">
        <f t="shared" si="193"/>
        <v>0</v>
      </c>
      <c r="M162" s="75">
        <f t="shared" si="193"/>
        <v>0</v>
      </c>
      <c r="N162" s="75">
        <f t="shared" si="193"/>
        <v>0</v>
      </c>
      <c r="O162" s="75">
        <f t="shared" si="193"/>
        <v>0</v>
      </c>
      <c r="P162" s="75">
        <f t="shared" si="193"/>
        <v>0</v>
      </c>
      <c r="Q162" s="169">
        <f t="shared" si="189"/>
        <v>29800</v>
      </c>
      <c r="R162" s="175" t="s">
        <v>314</v>
      </c>
      <c r="S162" s="175" t="s">
        <v>503</v>
      </c>
      <c r="T162" s="176">
        <v>8703.6</v>
      </c>
      <c r="U162" s="183">
        <f t="shared" ref="U162" si="194">+Q162+T162</f>
        <v>38503.599999999999</v>
      </c>
      <c r="V162" s="173" t="s">
        <v>314</v>
      </c>
      <c r="W162" s="130" t="s">
        <v>503</v>
      </c>
      <c r="X162" s="131">
        <f t="shared" ref="X162:AC162" si="195">SUM(X163)</f>
        <v>0</v>
      </c>
      <c r="Y162" s="131">
        <f t="shared" si="195"/>
        <v>0</v>
      </c>
      <c r="Z162" s="131">
        <f t="shared" si="195"/>
        <v>0</v>
      </c>
      <c r="AA162" s="131">
        <f t="shared" si="195"/>
        <v>0</v>
      </c>
      <c r="AB162" s="131">
        <f t="shared" si="195"/>
        <v>0</v>
      </c>
      <c r="AC162" s="131">
        <f t="shared" si="195"/>
        <v>0</v>
      </c>
      <c r="AD162" s="131">
        <v>0</v>
      </c>
      <c r="AE162" s="131">
        <f>SUM(AE163)</f>
        <v>0</v>
      </c>
      <c r="AF162" s="131">
        <v>750</v>
      </c>
      <c r="AG162" s="131">
        <f>SUM(AG163)</f>
        <v>0</v>
      </c>
      <c r="AH162" s="131">
        <f>SUM(AH163)</f>
        <v>0</v>
      </c>
      <c r="AI162" s="131">
        <f>SUM(AI163)</f>
        <v>0</v>
      </c>
      <c r="AJ162" s="132">
        <f t="shared" si="164"/>
        <v>750</v>
      </c>
      <c r="AK162" s="132">
        <f t="shared" si="167"/>
        <v>37753.599999999999</v>
      </c>
      <c r="AL162" s="204">
        <f t="shared" si="169"/>
        <v>1.9478698095762473E-2</v>
      </c>
      <c r="AN162"/>
      <c r="AO162" s="131">
        <f>+AK162</f>
        <v>37753.599999999999</v>
      </c>
      <c r="AP162" s="131"/>
      <c r="AQ162" s="131"/>
      <c r="AR162" s="131">
        <f>+AO162</f>
        <v>37753.599999999999</v>
      </c>
      <c r="AS162" s="131"/>
      <c r="AT162" s="131"/>
      <c r="AU162" s="131">
        <f t="shared" si="188"/>
        <v>37753.599999999999</v>
      </c>
      <c r="AV162" s="217">
        <f>+AK162-AU162</f>
        <v>0</v>
      </c>
    </row>
    <row r="163" spans="3:48" s="83" customFormat="1" ht="25.5" customHeight="1" x14ac:dyDescent="0.25">
      <c r="C163" s="62" t="s">
        <v>394</v>
      </c>
      <c r="D163" s="80" t="s">
        <v>504</v>
      </c>
      <c r="E163" s="86"/>
      <c r="F163" s="86">
        <v>29800</v>
      </c>
      <c r="G163" s="86"/>
      <c r="H163" s="86"/>
      <c r="I163" s="86"/>
      <c r="J163" s="86"/>
      <c r="K163" s="82"/>
      <c r="L163" s="86"/>
      <c r="M163" s="86"/>
      <c r="N163" s="86"/>
      <c r="O163" s="86"/>
      <c r="P163" s="86"/>
      <c r="Q163" s="163">
        <f t="shared" si="189"/>
        <v>29800</v>
      </c>
      <c r="R163" s="165" t="s">
        <v>394</v>
      </c>
      <c r="S163" s="165" t="s">
        <v>504</v>
      </c>
      <c r="T163" s="166"/>
      <c r="U163" s="181"/>
      <c r="V163" s="164" t="s">
        <v>394</v>
      </c>
      <c r="W163" s="80" t="s">
        <v>504</v>
      </c>
      <c r="X163" s="86"/>
      <c r="Y163" s="86"/>
      <c r="Z163" s="86"/>
      <c r="AA163" s="86"/>
      <c r="AB163" s="86">
        <v>0</v>
      </c>
      <c r="AC163" s="86"/>
      <c r="AD163" s="82"/>
      <c r="AE163" s="86"/>
      <c r="AF163" s="86"/>
      <c r="AG163" s="86"/>
      <c r="AH163" s="86"/>
      <c r="AI163" s="86"/>
      <c r="AJ163" s="65">
        <f t="shared" si="164"/>
        <v>0</v>
      </c>
      <c r="AK163" s="65">
        <f t="shared" si="167"/>
        <v>0</v>
      </c>
      <c r="AL163" s="205">
        <f t="shared" si="169"/>
        <v>0</v>
      </c>
      <c r="AN163"/>
      <c r="AO163" s="216"/>
      <c r="AP163" s="216"/>
      <c r="AQ163" s="216"/>
      <c r="AR163" s="216"/>
      <c r="AS163" s="216"/>
      <c r="AT163" s="216"/>
      <c r="AU163" s="216"/>
      <c r="AV163" s="216"/>
    </row>
    <row r="164" spans="3:48" s="83" customFormat="1" ht="25.5" customHeight="1" x14ac:dyDescent="0.3">
      <c r="C164" s="66" t="s">
        <v>317</v>
      </c>
      <c r="D164" s="67" t="s">
        <v>318</v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169">
        <f t="shared" si="189"/>
        <v>0</v>
      </c>
      <c r="R164" s="175" t="s">
        <v>317</v>
      </c>
      <c r="S164" s="175" t="s">
        <v>318</v>
      </c>
      <c r="T164" s="176">
        <v>10200</v>
      </c>
      <c r="U164" s="183">
        <f t="shared" ref="U164" si="196">+Q164+T164</f>
        <v>10200</v>
      </c>
      <c r="V164" s="173" t="s">
        <v>317</v>
      </c>
      <c r="W164" s="130" t="s">
        <v>318</v>
      </c>
      <c r="X164" s="131"/>
      <c r="Y164" s="131"/>
      <c r="Z164" s="131"/>
      <c r="AA164" s="131"/>
      <c r="AB164" s="131"/>
      <c r="AC164" s="131">
        <v>0</v>
      </c>
      <c r="AD164" s="131">
        <v>0</v>
      </c>
      <c r="AE164" s="131"/>
      <c r="AF164" s="131"/>
      <c r="AG164" s="131"/>
      <c r="AH164" s="131"/>
      <c r="AI164" s="131"/>
      <c r="AJ164" s="132">
        <f t="shared" si="164"/>
        <v>0</v>
      </c>
      <c r="AK164" s="132">
        <f t="shared" si="167"/>
        <v>10200</v>
      </c>
      <c r="AL164" s="204">
        <f t="shared" si="169"/>
        <v>0</v>
      </c>
      <c r="AN164"/>
      <c r="AO164" s="131">
        <f>+AK164</f>
        <v>10200</v>
      </c>
      <c r="AP164" s="131"/>
      <c r="AQ164" s="131"/>
      <c r="AR164" s="131">
        <v>10200</v>
      </c>
      <c r="AS164" s="131"/>
      <c r="AT164" s="131"/>
      <c r="AU164" s="131">
        <f t="shared" si="188"/>
        <v>10200</v>
      </c>
      <c r="AV164" s="217">
        <f>+AK164-AU164</f>
        <v>0</v>
      </c>
    </row>
    <row r="165" spans="3:48" s="83" customFormat="1" ht="25.5" customHeight="1" x14ac:dyDescent="0.25">
      <c r="C165" s="62"/>
      <c r="D165" s="80"/>
      <c r="E165" s="86"/>
      <c r="F165" s="86"/>
      <c r="G165" s="86"/>
      <c r="H165" s="86"/>
      <c r="I165" s="86"/>
      <c r="J165" s="86"/>
      <c r="K165" s="82"/>
      <c r="L165" s="86"/>
      <c r="M165" s="86"/>
      <c r="N165" s="86"/>
      <c r="O165" s="86"/>
      <c r="P165" s="86"/>
      <c r="Q165" s="163">
        <f t="shared" si="189"/>
        <v>0</v>
      </c>
      <c r="R165" s="165"/>
      <c r="S165" s="165"/>
      <c r="T165" s="166"/>
      <c r="U165" s="181"/>
      <c r="V165" s="164"/>
      <c r="W165" s="80"/>
      <c r="X165" s="86"/>
      <c r="Y165" s="86"/>
      <c r="Z165" s="86"/>
      <c r="AA165" s="86"/>
      <c r="AB165" s="86"/>
      <c r="AC165" s="86"/>
      <c r="AD165" s="82"/>
      <c r="AE165" s="86"/>
      <c r="AF165" s="86"/>
      <c r="AG165" s="86"/>
      <c r="AH165" s="86"/>
      <c r="AI165" s="86"/>
      <c r="AJ165" s="65">
        <f t="shared" si="164"/>
        <v>0</v>
      </c>
      <c r="AK165" s="65">
        <f t="shared" si="167"/>
        <v>0</v>
      </c>
      <c r="AL165" s="205">
        <f t="shared" si="169"/>
        <v>0</v>
      </c>
      <c r="AN165"/>
      <c r="AO165" s="216"/>
      <c r="AP165" s="216"/>
      <c r="AQ165" s="216"/>
      <c r="AR165" s="216"/>
      <c r="AS165" s="216"/>
      <c r="AT165" s="216"/>
      <c r="AU165" s="216"/>
      <c r="AV165" s="216"/>
    </row>
    <row r="166" spans="3:48" s="59" customFormat="1" ht="30" x14ac:dyDescent="0.3">
      <c r="C166" s="66" t="s">
        <v>323</v>
      </c>
      <c r="D166" s="67" t="s">
        <v>505</v>
      </c>
      <c r="E166" s="68"/>
      <c r="F166" s="68">
        <f>SUM(F167:F169)</f>
        <v>1400000</v>
      </c>
      <c r="G166" s="68"/>
      <c r="H166" s="68"/>
      <c r="I166" s="68"/>
      <c r="J166" s="68">
        <f>SUM(J167:J169)</f>
        <v>1100000</v>
      </c>
      <c r="K166" s="68"/>
      <c r="L166" s="68"/>
      <c r="M166" s="68"/>
      <c r="N166" s="68">
        <f>SUM(N167:N169)</f>
        <v>1200000</v>
      </c>
      <c r="O166" s="68"/>
      <c r="P166" s="68"/>
      <c r="Q166" s="169">
        <f t="shared" si="189"/>
        <v>3700000</v>
      </c>
      <c r="R166" s="175" t="s">
        <v>323</v>
      </c>
      <c r="S166" s="175" t="s">
        <v>505</v>
      </c>
      <c r="T166" s="176">
        <v>-2854175.52</v>
      </c>
      <c r="U166" s="183">
        <f t="shared" ref="U166" si="197">+Q166+T166</f>
        <v>845824.48</v>
      </c>
      <c r="V166" s="173" t="s">
        <v>323</v>
      </c>
      <c r="W166" s="130" t="s">
        <v>505</v>
      </c>
      <c r="X166" s="131"/>
      <c r="Y166" s="131">
        <f>SUM(Y167:Y169)</f>
        <v>0</v>
      </c>
      <c r="Z166" s="131"/>
      <c r="AA166" s="131"/>
      <c r="AB166" s="131">
        <v>0</v>
      </c>
      <c r="AC166" s="131">
        <f>SUM(AC167:AC169)</f>
        <v>0</v>
      </c>
      <c r="AD166" s="131">
        <v>0</v>
      </c>
      <c r="AE166" s="131"/>
      <c r="AF166" s="131"/>
      <c r="AG166" s="131">
        <f>SUM(AG167:AG169)</f>
        <v>0</v>
      </c>
      <c r="AH166" s="131"/>
      <c r="AI166" s="131"/>
      <c r="AJ166" s="132">
        <f t="shared" si="164"/>
        <v>0</v>
      </c>
      <c r="AK166" s="200">
        <f t="shared" si="167"/>
        <v>845824.48</v>
      </c>
      <c r="AL166" s="204">
        <f t="shared" si="169"/>
        <v>0</v>
      </c>
      <c r="AN166"/>
      <c r="AO166" s="131">
        <f>+AK166</f>
        <v>845824.48</v>
      </c>
      <c r="AP166" s="131">
        <v>0</v>
      </c>
      <c r="AQ166" s="131">
        <v>0</v>
      </c>
      <c r="AR166" s="131">
        <v>0</v>
      </c>
      <c r="AS166" s="131">
        <v>0</v>
      </c>
      <c r="AT166" s="131">
        <v>0</v>
      </c>
      <c r="AU166" s="131">
        <f t="shared" si="188"/>
        <v>0</v>
      </c>
      <c r="AV166" s="217">
        <f>+AK166-AU166</f>
        <v>845824.48</v>
      </c>
    </row>
    <row r="167" spans="3:48" s="83" customFormat="1" x14ac:dyDescent="0.25">
      <c r="C167" s="62" t="s">
        <v>394</v>
      </c>
      <c r="D167" s="80" t="s">
        <v>506</v>
      </c>
      <c r="E167" s="82"/>
      <c r="F167" s="82">
        <v>945946</v>
      </c>
      <c r="G167" s="89"/>
      <c r="H167" s="82"/>
      <c r="I167" s="82"/>
      <c r="J167" s="82">
        <v>743243</v>
      </c>
      <c r="K167" s="89"/>
      <c r="L167" s="82"/>
      <c r="M167" s="82"/>
      <c r="N167" s="82">
        <v>810811</v>
      </c>
      <c r="O167" s="89"/>
      <c r="P167" s="82"/>
      <c r="Q167" s="170">
        <f t="shared" si="189"/>
        <v>2500000</v>
      </c>
      <c r="R167" s="165" t="s">
        <v>394</v>
      </c>
      <c r="S167" s="165" t="s">
        <v>506</v>
      </c>
      <c r="T167" s="177"/>
      <c r="U167" s="184"/>
      <c r="V167" s="164" t="s">
        <v>394</v>
      </c>
      <c r="W167" s="80" t="s">
        <v>506</v>
      </c>
      <c r="X167" s="82"/>
      <c r="Y167" s="82"/>
      <c r="Z167" s="89"/>
      <c r="AA167" s="82"/>
      <c r="AB167" s="82"/>
      <c r="AC167" s="82"/>
      <c r="AD167" s="89"/>
      <c r="AE167" s="82"/>
      <c r="AF167" s="82"/>
      <c r="AG167" s="82"/>
      <c r="AH167" s="89"/>
      <c r="AI167" s="82"/>
      <c r="AJ167" s="84">
        <f t="shared" si="164"/>
        <v>0</v>
      </c>
      <c r="AK167" s="84">
        <f t="shared" si="167"/>
        <v>0</v>
      </c>
      <c r="AL167" s="205">
        <f t="shared" si="169"/>
        <v>0</v>
      </c>
      <c r="AN167"/>
      <c r="AO167" s="216"/>
      <c r="AP167" s="216"/>
      <c r="AQ167" s="216"/>
      <c r="AR167" s="216"/>
      <c r="AS167" s="216"/>
      <c r="AT167" s="216"/>
      <c r="AU167" s="216"/>
      <c r="AV167" s="216"/>
    </row>
    <row r="168" spans="3:48" s="83" customFormat="1" x14ac:dyDescent="0.25">
      <c r="C168" s="62" t="s">
        <v>396</v>
      </c>
      <c r="D168" s="80" t="s">
        <v>507</v>
      </c>
      <c r="E168" s="82"/>
      <c r="F168" s="82">
        <v>302703</v>
      </c>
      <c r="G168" s="89"/>
      <c r="H168" s="82"/>
      <c r="I168" s="82"/>
      <c r="J168" s="82">
        <v>237838</v>
      </c>
      <c r="K168" s="89"/>
      <c r="L168" s="82"/>
      <c r="M168" s="82"/>
      <c r="N168" s="82">
        <v>259459</v>
      </c>
      <c r="O168" s="89"/>
      <c r="P168" s="82"/>
      <c r="Q168" s="170">
        <f t="shared" si="189"/>
        <v>800000</v>
      </c>
      <c r="R168" s="165" t="s">
        <v>396</v>
      </c>
      <c r="S168" s="165" t="s">
        <v>507</v>
      </c>
      <c r="T168" s="177"/>
      <c r="U168" s="184"/>
      <c r="V168" s="164" t="s">
        <v>396</v>
      </c>
      <c r="W168" s="80" t="s">
        <v>507</v>
      </c>
      <c r="X168" s="82"/>
      <c r="Y168" s="82"/>
      <c r="Z168" s="89"/>
      <c r="AA168" s="82"/>
      <c r="AB168" s="82"/>
      <c r="AC168" s="82"/>
      <c r="AD168" s="89"/>
      <c r="AE168" s="82"/>
      <c r="AF168" s="82"/>
      <c r="AG168" s="82"/>
      <c r="AH168" s="89"/>
      <c r="AI168" s="82"/>
      <c r="AJ168" s="84">
        <f t="shared" si="164"/>
        <v>0</v>
      </c>
      <c r="AK168" s="84">
        <f t="shared" si="167"/>
        <v>0</v>
      </c>
      <c r="AL168" s="205">
        <f t="shared" si="169"/>
        <v>0</v>
      </c>
      <c r="AN168"/>
      <c r="AO168" s="216"/>
      <c r="AP168" s="216"/>
      <c r="AQ168" s="216"/>
      <c r="AR168" s="216"/>
      <c r="AS168" s="216"/>
      <c r="AT168" s="216"/>
      <c r="AU168" s="216"/>
      <c r="AV168" s="216"/>
    </row>
    <row r="169" spans="3:48" s="83" customFormat="1" x14ac:dyDescent="0.25">
      <c r="C169" s="62" t="s">
        <v>398</v>
      </c>
      <c r="D169" s="80" t="s">
        <v>508</v>
      </c>
      <c r="E169" s="82"/>
      <c r="F169" s="82">
        <v>151351</v>
      </c>
      <c r="G169" s="89"/>
      <c r="H169" s="82"/>
      <c r="I169" s="82"/>
      <c r="J169" s="82">
        <v>118919</v>
      </c>
      <c r="K169" s="89"/>
      <c r="L169" s="82"/>
      <c r="M169" s="82"/>
      <c r="N169" s="82">
        <v>129730</v>
      </c>
      <c r="O169" s="89"/>
      <c r="P169" s="82"/>
      <c r="Q169" s="170">
        <f t="shared" si="189"/>
        <v>400000</v>
      </c>
      <c r="R169" s="165" t="s">
        <v>398</v>
      </c>
      <c r="S169" s="165" t="s">
        <v>508</v>
      </c>
      <c r="T169" s="177"/>
      <c r="U169" s="184"/>
      <c r="V169" s="164" t="s">
        <v>398</v>
      </c>
      <c r="W169" s="80" t="s">
        <v>508</v>
      </c>
      <c r="X169" s="82"/>
      <c r="Y169" s="82"/>
      <c r="Z169" s="89"/>
      <c r="AA169" s="82"/>
      <c r="AB169" s="82"/>
      <c r="AC169" s="82"/>
      <c r="AD169" s="89"/>
      <c r="AE169" s="82"/>
      <c r="AF169" s="82"/>
      <c r="AG169" s="82"/>
      <c r="AH169" s="89"/>
      <c r="AI169" s="82"/>
      <c r="AJ169" s="84">
        <f t="shared" si="164"/>
        <v>0</v>
      </c>
      <c r="AK169" s="84">
        <f t="shared" si="167"/>
        <v>0</v>
      </c>
      <c r="AL169" s="205">
        <f t="shared" si="169"/>
        <v>0</v>
      </c>
      <c r="AN169"/>
      <c r="AO169" s="216"/>
      <c r="AP169" s="216"/>
      <c r="AQ169" s="216"/>
      <c r="AR169" s="216"/>
      <c r="AS169" s="216"/>
      <c r="AT169" s="216"/>
      <c r="AU169" s="216"/>
      <c r="AV169" s="216"/>
    </row>
    <row r="170" spans="3:48" s="83" customFormat="1" ht="35.25" customHeight="1" x14ac:dyDescent="0.3">
      <c r="C170" s="66" t="s">
        <v>582</v>
      </c>
      <c r="D170" s="67" t="s">
        <v>583</v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169">
        <f t="shared" si="189"/>
        <v>0</v>
      </c>
      <c r="R170" s="175" t="s">
        <v>582</v>
      </c>
      <c r="S170" s="175" t="s">
        <v>583</v>
      </c>
      <c r="T170" s="176">
        <v>63208.45</v>
      </c>
      <c r="U170" s="183">
        <f t="shared" ref="U170:U174" si="198">+Q170+T170</f>
        <v>63208.45</v>
      </c>
      <c r="V170" s="173" t="s">
        <v>582</v>
      </c>
      <c r="W170" s="130" t="s">
        <v>583</v>
      </c>
      <c r="X170" s="131"/>
      <c r="Y170" s="131"/>
      <c r="Z170" s="131"/>
      <c r="AA170" s="131"/>
      <c r="AB170" s="131">
        <v>0</v>
      </c>
      <c r="AC170" s="131"/>
      <c r="AD170" s="131">
        <v>0</v>
      </c>
      <c r="AE170" s="131"/>
      <c r="AF170" s="131">
        <v>34515</v>
      </c>
      <c r="AG170" s="131"/>
      <c r="AH170" s="131"/>
      <c r="AI170" s="131"/>
      <c r="AJ170" s="132">
        <f t="shared" si="164"/>
        <v>34515</v>
      </c>
      <c r="AK170" s="132">
        <f t="shared" si="167"/>
        <v>28693.449999999997</v>
      </c>
      <c r="AL170" s="204">
        <f t="shared" si="169"/>
        <v>0.54605040939937621</v>
      </c>
      <c r="AN170"/>
      <c r="AO170" s="131">
        <f t="shared" ref="AO170:AO174" si="199">IFERROR(AVERAGE(X170:AD170),0)</f>
        <v>0</v>
      </c>
      <c r="AP170" s="131">
        <f>+AO170</f>
        <v>0</v>
      </c>
      <c r="AQ170" s="131">
        <f t="shared" ref="AQ170:AT170" si="200">+AP170</f>
        <v>0</v>
      </c>
      <c r="AR170" s="131">
        <f t="shared" si="200"/>
        <v>0</v>
      </c>
      <c r="AS170" s="131">
        <f t="shared" si="200"/>
        <v>0</v>
      </c>
      <c r="AT170" s="131">
        <f t="shared" si="200"/>
        <v>0</v>
      </c>
      <c r="AU170" s="131">
        <f t="shared" ref="AU170:AU172" si="201">SUM(AP170:AT170)</f>
        <v>0</v>
      </c>
      <c r="AV170" s="217">
        <f t="shared" ref="AV170:AV174" si="202">+AK170-AU170</f>
        <v>28693.449999999997</v>
      </c>
    </row>
    <row r="171" spans="3:48" s="59" customFormat="1" ht="36.75" customHeight="1" x14ac:dyDescent="0.3">
      <c r="C171" s="66" t="s">
        <v>329</v>
      </c>
      <c r="D171" s="67" t="s">
        <v>509</v>
      </c>
      <c r="E171" s="68">
        <v>20000</v>
      </c>
      <c r="F171" s="68">
        <v>20000</v>
      </c>
      <c r="G171" s="68">
        <v>20000</v>
      </c>
      <c r="H171" s="68">
        <v>20000</v>
      </c>
      <c r="I171" s="68">
        <v>20000</v>
      </c>
      <c r="J171" s="68">
        <v>20000</v>
      </c>
      <c r="K171" s="68">
        <v>20000</v>
      </c>
      <c r="L171" s="68">
        <v>20000</v>
      </c>
      <c r="M171" s="68">
        <v>20000</v>
      </c>
      <c r="N171" s="68">
        <v>20000</v>
      </c>
      <c r="O171" s="68">
        <v>20000</v>
      </c>
      <c r="P171" s="68">
        <v>20000</v>
      </c>
      <c r="Q171" s="169">
        <f t="shared" si="189"/>
        <v>240000</v>
      </c>
      <c r="R171" s="175" t="s">
        <v>329</v>
      </c>
      <c r="S171" s="175" t="s">
        <v>509</v>
      </c>
      <c r="T171" s="176">
        <v>0</v>
      </c>
      <c r="U171" s="183">
        <f t="shared" si="198"/>
        <v>240000</v>
      </c>
      <c r="V171" s="173" t="s">
        <v>329</v>
      </c>
      <c r="W171" s="130" t="s">
        <v>509</v>
      </c>
      <c r="X171" s="131">
        <f>VLOOKUP(V171,'Reporte Devengado Aprobado'!B:P,3,FALSE)</f>
        <v>0</v>
      </c>
      <c r="Y171" s="131"/>
      <c r="Z171" s="131"/>
      <c r="AA171" s="131"/>
      <c r="AB171" s="131"/>
      <c r="AC171" s="131"/>
      <c r="AD171" s="131"/>
      <c r="AE171" s="131"/>
      <c r="AF171" s="131"/>
      <c r="AG171" s="131"/>
      <c r="AH171" s="131"/>
      <c r="AI171" s="131"/>
      <c r="AJ171" s="132">
        <f t="shared" si="164"/>
        <v>0</v>
      </c>
      <c r="AK171" s="200">
        <f t="shared" si="167"/>
        <v>240000</v>
      </c>
      <c r="AL171" s="204">
        <f t="shared" si="169"/>
        <v>0</v>
      </c>
      <c r="AN171"/>
      <c r="AO171" s="131">
        <f t="shared" si="199"/>
        <v>0</v>
      </c>
      <c r="AP171" s="131">
        <f>+AO171</f>
        <v>0</v>
      </c>
      <c r="AQ171" s="131">
        <f t="shared" ref="AQ171:AT171" si="203">+AP171</f>
        <v>0</v>
      </c>
      <c r="AR171" s="131">
        <f t="shared" si="203"/>
        <v>0</v>
      </c>
      <c r="AS171" s="131">
        <f t="shared" si="203"/>
        <v>0</v>
      </c>
      <c r="AT171" s="131">
        <f t="shared" si="203"/>
        <v>0</v>
      </c>
      <c r="AU171" s="131">
        <f t="shared" si="201"/>
        <v>0</v>
      </c>
      <c r="AV171" s="217">
        <f t="shared" si="202"/>
        <v>240000</v>
      </c>
    </row>
    <row r="172" spans="3:48" s="59" customFormat="1" ht="45" x14ac:dyDescent="0.3">
      <c r="C172" s="66" t="s">
        <v>334</v>
      </c>
      <c r="D172" s="67" t="s">
        <v>510</v>
      </c>
      <c r="E172" s="68"/>
      <c r="F172" s="68">
        <v>3825000</v>
      </c>
      <c r="G172" s="68"/>
      <c r="H172" s="68"/>
      <c r="I172" s="68"/>
      <c r="J172" s="68"/>
      <c r="K172" s="68">
        <v>3700000</v>
      </c>
      <c r="L172" s="68"/>
      <c r="M172" s="68"/>
      <c r="N172" s="68"/>
      <c r="O172" s="68"/>
      <c r="P172" s="68"/>
      <c r="Q172" s="169">
        <f t="shared" si="189"/>
        <v>7525000</v>
      </c>
      <c r="R172" s="175" t="s">
        <v>334</v>
      </c>
      <c r="S172" s="175" t="s">
        <v>510</v>
      </c>
      <c r="T172" s="176">
        <v>-7000000</v>
      </c>
      <c r="U172" s="183">
        <f t="shared" si="198"/>
        <v>525000</v>
      </c>
      <c r="V172" s="173" t="s">
        <v>334</v>
      </c>
      <c r="W172" s="130" t="s">
        <v>510</v>
      </c>
      <c r="X172" s="131">
        <f>VLOOKUP(V172,'Reporte Devengado Aprobado'!B:P,3,FALSE)</f>
        <v>0</v>
      </c>
      <c r="Y172" s="131"/>
      <c r="Z172" s="131"/>
      <c r="AA172" s="131"/>
      <c r="AB172" s="131">
        <v>398536.08</v>
      </c>
      <c r="AC172" s="131"/>
      <c r="AD172" s="131">
        <v>0</v>
      </c>
      <c r="AE172" s="131"/>
      <c r="AF172" s="131"/>
      <c r="AG172" s="131"/>
      <c r="AH172" s="131"/>
      <c r="AI172" s="131"/>
      <c r="AJ172" s="132">
        <f t="shared" si="164"/>
        <v>398536.08</v>
      </c>
      <c r="AK172" s="200">
        <f t="shared" ref="AK172:AK191" si="204">+U172-AJ172</f>
        <v>126463.91999999998</v>
      </c>
      <c r="AL172" s="204">
        <f t="shared" si="169"/>
        <v>0.75911634285714291</v>
      </c>
      <c r="AN172"/>
      <c r="AO172" s="131">
        <f t="shared" si="199"/>
        <v>132845.36000000002</v>
      </c>
      <c r="AP172" s="131"/>
      <c r="AQ172" s="131">
        <f>50000*58</f>
        <v>2900000</v>
      </c>
      <c r="AR172" s="131"/>
      <c r="AS172" s="131"/>
      <c r="AT172" s="131"/>
      <c r="AU172" s="131">
        <f t="shared" si="201"/>
        <v>2900000</v>
      </c>
      <c r="AV172" s="217">
        <f t="shared" si="202"/>
        <v>-2773536.08</v>
      </c>
    </row>
    <row r="173" spans="3:48" s="59" customFormat="1" ht="39" customHeight="1" x14ac:dyDescent="0.3">
      <c r="C173" s="66" t="s">
        <v>337</v>
      </c>
      <c r="D173" s="67" t="s">
        <v>511</v>
      </c>
      <c r="E173" s="68"/>
      <c r="F173" s="68"/>
      <c r="G173" s="68">
        <v>475000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169">
        <f t="shared" si="189"/>
        <v>475000</v>
      </c>
      <c r="R173" s="175" t="s">
        <v>337</v>
      </c>
      <c r="S173" s="175" t="s">
        <v>511</v>
      </c>
      <c r="T173" s="176">
        <v>0</v>
      </c>
      <c r="U173" s="183">
        <f t="shared" si="198"/>
        <v>475000</v>
      </c>
      <c r="V173" s="173" t="s">
        <v>337</v>
      </c>
      <c r="W173" s="130" t="s">
        <v>511</v>
      </c>
      <c r="X173" s="131">
        <f>VLOOKUP(V173,'Reporte Devengado Aprobado'!B:P,3,FALSE)</f>
        <v>0</v>
      </c>
      <c r="Y173" s="131"/>
      <c r="Z173" s="131"/>
      <c r="AA173" s="131">
        <v>18849.509999999998</v>
      </c>
      <c r="AB173" s="131">
        <v>0</v>
      </c>
      <c r="AC173" s="131">
        <v>39927.67</v>
      </c>
      <c r="AD173" s="131">
        <v>0</v>
      </c>
      <c r="AE173" s="131"/>
      <c r="AF173" s="131"/>
      <c r="AG173" s="131"/>
      <c r="AH173" s="131"/>
      <c r="AI173" s="131"/>
      <c r="AJ173" s="132">
        <f t="shared" si="164"/>
        <v>58777.179999999993</v>
      </c>
      <c r="AK173" s="200">
        <f t="shared" si="204"/>
        <v>416222.82</v>
      </c>
      <c r="AL173" s="204">
        <f t="shared" si="169"/>
        <v>0.12374143157894735</v>
      </c>
      <c r="AN173"/>
      <c r="AO173" s="131">
        <f t="shared" si="199"/>
        <v>11755.435999999998</v>
      </c>
      <c r="AP173" s="131">
        <f t="shared" ref="AP173:AP174" si="205">+AO173*$AO$6</f>
        <v>58777.179999999993</v>
      </c>
      <c r="AQ173" s="131"/>
      <c r="AR173" s="131"/>
      <c r="AS173" s="131"/>
      <c r="AT173" s="131"/>
      <c r="AU173" s="215"/>
      <c r="AV173" s="217">
        <f t="shared" si="202"/>
        <v>416222.82</v>
      </c>
    </row>
    <row r="174" spans="3:48" s="59" customFormat="1" ht="28.5" customHeight="1" x14ac:dyDescent="0.3">
      <c r="C174" s="73" t="s">
        <v>342</v>
      </c>
      <c r="D174" s="67" t="s">
        <v>512</v>
      </c>
      <c r="E174" s="75">
        <f>SUM(E175:E175)</f>
        <v>0</v>
      </c>
      <c r="F174" s="75">
        <f>SUM(F175)</f>
        <v>1450000</v>
      </c>
      <c r="G174" s="75">
        <f t="shared" ref="G174:P174" si="206">SUM(G175:G175)</f>
        <v>0</v>
      </c>
      <c r="H174" s="75">
        <f t="shared" si="206"/>
        <v>0</v>
      </c>
      <c r="I174" s="75">
        <f t="shared" si="206"/>
        <v>0</v>
      </c>
      <c r="J174" s="75">
        <f t="shared" si="206"/>
        <v>650000</v>
      </c>
      <c r="K174" s="75">
        <f t="shared" si="206"/>
        <v>0</v>
      </c>
      <c r="L174" s="75">
        <f t="shared" si="206"/>
        <v>0</v>
      </c>
      <c r="M174" s="75">
        <f t="shared" si="206"/>
        <v>0</v>
      </c>
      <c r="N174" s="75">
        <f t="shared" si="206"/>
        <v>0</v>
      </c>
      <c r="O174" s="75">
        <f t="shared" si="206"/>
        <v>0</v>
      </c>
      <c r="P174" s="75">
        <f t="shared" si="206"/>
        <v>0</v>
      </c>
      <c r="Q174" s="169">
        <f t="shared" si="189"/>
        <v>2100000</v>
      </c>
      <c r="R174" s="175" t="s">
        <v>342</v>
      </c>
      <c r="S174" s="175" t="s">
        <v>512</v>
      </c>
      <c r="T174" s="176">
        <v>11480766.880000001</v>
      </c>
      <c r="U174" s="183">
        <f t="shared" si="198"/>
        <v>13580766.880000001</v>
      </c>
      <c r="V174" s="173" t="s">
        <v>342</v>
      </c>
      <c r="W174" s="130" t="s">
        <v>512</v>
      </c>
      <c r="X174" s="131">
        <f>SUM(X175:X175)</f>
        <v>0</v>
      </c>
      <c r="Y174" s="131">
        <f>SUM(Y175)</f>
        <v>0</v>
      </c>
      <c r="Z174" s="131">
        <f>SUM(Z175:Z175)</f>
        <v>0</v>
      </c>
      <c r="AA174" s="131">
        <f>SUM(AA175:AA175)</f>
        <v>0</v>
      </c>
      <c r="AB174" s="131">
        <f>SUM(AB175:AB175)</f>
        <v>0</v>
      </c>
      <c r="AC174" s="131">
        <f>SUM(AC175:AC175)</f>
        <v>0</v>
      </c>
      <c r="AD174" s="131">
        <v>0</v>
      </c>
      <c r="AE174" s="131">
        <f>SUM(AE175:AE175)</f>
        <v>0</v>
      </c>
      <c r="AF174" s="131">
        <f>SUM(AF175:AF175)</f>
        <v>0</v>
      </c>
      <c r="AG174" s="131">
        <f>SUM(AG175:AG175)</f>
        <v>0</v>
      </c>
      <c r="AH174" s="131">
        <f>SUM(AH175:AH175)</f>
        <v>0</v>
      </c>
      <c r="AI174" s="131">
        <f>SUM(AI175:AI175)</f>
        <v>0</v>
      </c>
      <c r="AJ174" s="132">
        <f t="shared" si="164"/>
        <v>0</v>
      </c>
      <c r="AK174" s="200">
        <f t="shared" si="204"/>
        <v>13580766.880000001</v>
      </c>
      <c r="AL174" s="204">
        <f t="shared" si="169"/>
        <v>0</v>
      </c>
      <c r="AN174"/>
      <c r="AO174" s="131">
        <f t="shared" si="199"/>
        <v>0</v>
      </c>
      <c r="AP174" s="131">
        <f t="shared" si="205"/>
        <v>0</v>
      </c>
      <c r="AQ174" s="131"/>
      <c r="AR174" s="131"/>
      <c r="AS174" s="131"/>
      <c r="AT174" s="131"/>
      <c r="AU174" s="215"/>
      <c r="AV174" s="217">
        <f t="shared" si="202"/>
        <v>13580766.880000001</v>
      </c>
    </row>
    <row r="175" spans="3:48" s="83" customFormat="1" ht="28.5" customHeight="1" x14ac:dyDescent="0.25">
      <c r="C175" s="62" t="s">
        <v>394</v>
      </c>
      <c r="D175" s="80" t="s">
        <v>513</v>
      </c>
      <c r="E175" s="86"/>
      <c r="F175" s="86">
        <v>1450000</v>
      </c>
      <c r="G175" s="86"/>
      <c r="H175" s="86"/>
      <c r="I175" s="86"/>
      <c r="J175" s="86">
        <v>650000</v>
      </c>
      <c r="K175" s="86"/>
      <c r="L175" s="86"/>
      <c r="M175" s="86"/>
      <c r="N175" s="86"/>
      <c r="O175" s="86"/>
      <c r="P175" s="86"/>
      <c r="Q175" s="163">
        <f t="shared" si="189"/>
        <v>2100000</v>
      </c>
      <c r="R175" s="165" t="s">
        <v>394</v>
      </c>
      <c r="S175" s="165" t="s">
        <v>513</v>
      </c>
      <c r="T175" s="166"/>
      <c r="U175" s="181"/>
      <c r="V175" s="164" t="s">
        <v>394</v>
      </c>
      <c r="W175" s="80" t="s">
        <v>513</v>
      </c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65">
        <f t="shared" si="164"/>
        <v>0</v>
      </c>
      <c r="AK175" s="65">
        <f t="shared" si="204"/>
        <v>0</v>
      </c>
      <c r="AL175" s="205">
        <f t="shared" si="169"/>
        <v>0</v>
      </c>
      <c r="AN175"/>
      <c r="AO175" s="216"/>
      <c r="AP175" s="216"/>
      <c r="AQ175" s="216"/>
      <c r="AR175" s="216"/>
      <c r="AS175" s="216"/>
      <c r="AT175" s="216"/>
      <c r="AU175" s="216"/>
      <c r="AV175" s="216"/>
    </row>
    <row r="176" spans="3:48" s="59" customFormat="1" ht="27" customHeight="1" x14ac:dyDescent="0.3">
      <c r="C176" s="66" t="s">
        <v>345</v>
      </c>
      <c r="D176" s="67" t="s">
        <v>514</v>
      </c>
      <c r="E176" s="75">
        <f t="shared" ref="E176:P176" si="207">SUM(E177)</f>
        <v>0</v>
      </c>
      <c r="F176" s="75">
        <f t="shared" si="207"/>
        <v>0</v>
      </c>
      <c r="G176" s="75">
        <f t="shared" si="207"/>
        <v>2150000</v>
      </c>
      <c r="H176" s="75">
        <f t="shared" si="207"/>
        <v>0</v>
      </c>
      <c r="I176" s="75">
        <f t="shared" si="207"/>
        <v>3400000</v>
      </c>
      <c r="J176" s="75">
        <f t="shared" si="207"/>
        <v>0</v>
      </c>
      <c r="K176" s="75">
        <f t="shared" si="207"/>
        <v>0</v>
      </c>
      <c r="L176" s="75">
        <f t="shared" si="207"/>
        <v>2215000</v>
      </c>
      <c r="M176" s="75">
        <f t="shared" si="207"/>
        <v>0</v>
      </c>
      <c r="N176" s="75">
        <f t="shared" si="207"/>
        <v>0</v>
      </c>
      <c r="O176" s="75">
        <f t="shared" si="207"/>
        <v>2655000</v>
      </c>
      <c r="P176" s="75">
        <f t="shared" si="207"/>
        <v>0</v>
      </c>
      <c r="Q176" s="169">
        <f t="shared" si="189"/>
        <v>10420000</v>
      </c>
      <c r="R176" s="175" t="s">
        <v>345</v>
      </c>
      <c r="S176" s="175" t="s">
        <v>514</v>
      </c>
      <c r="T176" s="176">
        <v>0</v>
      </c>
      <c r="U176" s="183">
        <f t="shared" ref="U176" si="208">+Q176+T176</f>
        <v>10420000</v>
      </c>
      <c r="V176" s="173" t="s">
        <v>345</v>
      </c>
      <c r="W176" s="130" t="s">
        <v>514</v>
      </c>
      <c r="X176" s="131">
        <f t="shared" ref="X176:AC176" si="209">SUM(X177)</f>
        <v>0</v>
      </c>
      <c r="Y176" s="131">
        <f t="shared" si="209"/>
        <v>0</v>
      </c>
      <c r="Z176" s="131">
        <f t="shared" si="209"/>
        <v>0</v>
      </c>
      <c r="AA176" s="131">
        <f t="shared" si="209"/>
        <v>0</v>
      </c>
      <c r="AB176" s="131">
        <f t="shared" si="209"/>
        <v>0</v>
      </c>
      <c r="AC176" s="131">
        <f t="shared" si="209"/>
        <v>0</v>
      </c>
      <c r="AD176" s="131">
        <v>0</v>
      </c>
      <c r="AE176" s="131">
        <f>SUM(AE177)</f>
        <v>0</v>
      </c>
      <c r="AF176" s="131">
        <f>SUM(AF177)</f>
        <v>0</v>
      </c>
      <c r="AG176" s="131">
        <f>SUM(AG177)</f>
        <v>0</v>
      </c>
      <c r="AH176" s="131">
        <f>SUM(AH177)</f>
        <v>0</v>
      </c>
      <c r="AI176" s="131">
        <f>SUM(AI177)</f>
        <v>0</v>
      </c>
      <c r="AJ176" s="132">
        <f t="shared" si="164"/>
        <v>0</v>
      </c>
      <c r="AK176" s="220">
        <f t="shared" si="204"/>
        <v>10420000</v>
      </c>
      <c r="AL176" s="204">
        <f t="shared" si="169"/>
        <v>0</v>
      </c>
      <c r="AN176"/>
      <c r="AO176" s="131">
        <f>IFERROR(AVERAGE(X176:AD176),0)</f>
        <v>0</v>
      </c>
      <c r="AP176" s="131">
        <f>+AO176*$AO$6</f>
        <v>0</v>
      </c>
      <c r="AQ176" s="131"/>
      <c r="AR176" s="131"/>
      <c r="AS176" s="131"/>
      <c r="AT176" s="131"/>
      <c r="AU176" s="215"/>
      <c r="AV176" s="217">
        <f>+AK176-AU176</f>
        <v>10420000</v>
      </c>
    </row>
    <row r="177" spans="3:48" s="83" customFormat="1" ht="27" customHeight="1" x14ac:dyDescent="0.25">
      <c r="C177" s="62" t="s">
        <v>394</v>
      </c>
      <c r="D177" s="80" t="s">
        <v>515</v>
      </c>
      <c r="E177" s="86"/>
      <c r="F177" s="86"/>
      <c r="G177" s="86">
        <v>2150000</v>
      </c>
      <c r="H177" s="86"/>
      <c r="I177" s="82">
        <v>3400000</v>
      </c>
      <c r="J177" s="82"/>
      <c r="K177" s="86"/>
      <c r="L177" s="86">
        <v>2215000</v>
      </c>
      <c r="M177" s="82"/>
      <c r="N177" s="86"/>
      <c r="O177" s="86">
        <v>2655000</v>
      </c>
      <c r="P177" s="86"/>
      <c r="Q177" s="163">
        <f t="shared" si="189"/>
        <v>10420000</v>
      </c>
      <c r="R177" s="165" t="s">
        <v>394</v>
      </c>
      <c r="S177" s="165" t="s">
        <v>515</v>
      </c>
      <c r="T177" s="166"/>
      <c r="U177" s="181"/>
      <c r="V177" s="164" t="s">
        <v>394</v>
      </c>
      <c r="W177" s="80" t="s">
        <v>515</v>
      </c>
      <c r="X177" s="86"/>
      <c r="Y177" s="86"/>
      <c r="Z177" s="86"/>
      <c r="AA177" s="86"/>
      <c r="AB177" s="82"/>
      <c r="AC177" s="82"/>
      <c r="AD177" s="86"/>
      <c r="AE177" s="86"/>
      <c r="AF177" s="82"/>
      <c r="AG177" s="86"/>
      <c r="AH177" s="86"/>
      <c r="AI177" s="86"/>
      <c r="AJ177" s="65">
        <f t="shared" si="164"/>
        <v>0</v>
      </c>
      <c r="AK177" s="65">
        <f t="shared" si="204"/>
        <v>0</v>
      </c>
      <c r="AL177" s="205">
        <f t="shared" si="169"/>
        <v>0</v>
      </c>
      <c r="AN177"/>
      <c r="AO177" s="216"/>
      <c r="AP177" s="216"/>
      <c r="AQ177" s="216"/>
      <c r="AR177" s="216"/>
      <c r="AS177" s="216"/>
      <c r="AT177" s="216"/>
      <c r="AU177" s="216"/>
      <c r="AV177" s="216"/>
    </row>
    <row r="178" spans="3:48" s="59" customFormat="1" ht="22.5" customHeight="1" x14ac:dyDescent="0.3">
      <c r="C178" s="66" t="s">
        <v>348</v>
      </c>
      <c r="D178" s="67" t="s">
        <v>516</v>
      </c>
      <c r="E178" s="75">
        <f t="shared" ref="E178:P178" si="210">SUM(E179)</f>
        <v>0</v>
      </c>
      <c r="F178" s="75">
        <f t="shared" si="210"/>
        <v>0</v>
      </c>
      <c r="G178" s="75">
        <f t="shared" si="210"/>
        <v>875000</v>
      </c>
      <c r="H178" s="75">
        <f t="shared" si="210"/>
        <v>0</v>
      </c>
      <c r="I178" s="75">
        <f t="shared" si="210"/>
        <v>0</v>
      </c>
      <c r="J178" s="75">
        <f t="shared" si="210"/>
        <v>0</v>
      </c>
      <c r="K178" s="75">
        <f t="shared" si="210"/>
        <v>0</v>
      </c>
      <c r="L178" s="75">
        <f t="shared" si="210"/>
        <v>0</v>
      </c>
      <c r="M178" s="75">
        <f t="shared" si="210"/>
        <v>0</v>
      </c>
      <c r="N178" s="75">
        <f t="shared" si="210"/>
        <v>0</v>
      </c>
      <c r="O178" s="75">
        <f t="shared" si="210"/>
        <v>779000</v>
      </c>
      <c r="P178" s="75">
        <f t="shared" si="210"/>
        <v>0</v>
      </c>
      <c r="Q178" s="169">
        <f t="shared" si="189"/>
        <v>1654000</v>
      </c>
      <c r="R178" s="175" t="s">
        <v>348</v>
      </c>
      <c r="S178" s="175" t="s">
        <v>516</v>
      </c>
      <c r="T178" s="176">
        <v>-276302.84000000003</v>
      </c>
      <c r="U178" s="183">
        <f t="shared" ref="U178" si="211">+Q178+T178</f>
        <v>1377697.16</v>
      </c>
      <c r="V178" s="173" t="s">
        <v>348</v>
      </c>
      <c r="W178" s="130" t="s">
        <v>516</v>
      </c>
      <c r="X178" s="131">
        <f t="shared" ref="X178:AC178" si="212">SUM(X179)</f>
        <v>0</v>
      </c>
      <c r="Y178" s="131">
        <f t="shared" si="212"/>
        <v>0</v>
      </c>
      <c r="Z178" s="131">
        <f t="shared" si="212"/>
        <v>0</v>
      </c>
      <c r="AA178" s="131">
        <f t="shared" si="212"/>
        <v>0</v>
      </c>
      <c r="AB178" s="131">
        <f t="shared" si="212"/>
        <v>0</v>
      </c>
      <c r="AC178" s="131">
        <f t="shared" si="212"/>
        <v>0</v>
      </c>
      <c r="AD178" s="131">
        <v>0</v>
      </c>
      <c r="AE178" s="131">
        <f>SUM(AE179)</f>
        <v>0</v>
      </c>
      <c r="AF178" s="131">
        <f>SUM(AF179)</f>
        <v>0</v>
      </c>
      <c r="AG178" s="131">
        <f>SUM(AG179)</f>
        <v>0</v>
      </c>
      <c r="AH178" s="131">
        <f>SUM(AH179)</f>
        <v>0</v>
      </c>
      <c r="AI178" s="131">
        <f>SUM(AI179)</f>
        <v>0</v>
      </c>
      <c r="AJ178" s="132">
        <f t="shared" si="164"/>
        <v>0</v>
      </c>
      <c r="AK178" s="220">
        <f t="shared" si="204"/>
        <v>1377697.16</v>
      </c>
      <c r="AL178" s="204">
        <f t="shared" si="169"/>
        <v>0</v>
      </c>
      <c r="AN178"/>
      <c r="AO178" s="131">
        <f>IFERROR(AVERAGE(X178:AD178),0)</f>
        <v>0</v>
      </c>
      <c r="AP178" s="131">
        <f>+AO178*$AO$6</f>
        <v>0</v>
      </c>
      <c r="AQ178" s="131"/>
      <c r="AR178" s="131"/>
      <c r="AS178" s="131"/>
      <c r="AT178" s="131"/>
      <c r="AU178" s="215"/>
      <c r="AV178" s="217">
        <f>+AK178-AU178</f>
        <v>1377697.16</v>
      </c>
    </row>
    <row r="179" spans="3:48" s="83" customFormat="1" ht="22.5" customHeight="1" x14ac:dyDescent="0.25">
      <c r="C179" s="62" t="s">
        <v>394</v>
      </c>
      <c r="D179" s="80" t="s">
        <v>517</v>
      </c>
      <c r="E179" s="86"/>
      <c r="F179" s="86"/>
      <c r="G179" s="86">
        <v>875000</v>
      </c>
      <c r="H179" s="86"/>
      <c r="I179" s="86"/>
      <c r="J179" s="86"/>
      <c r="K179" s="86"/>
      <c r="L179" s="86"/>
      <c r="M179" s="86"/>
      <c r="N179" s="82"/>
      <c r="O179" s="82">
        <v>779000</v>
      </c>
      <c r="P179" s="82"/>
      <c r="Q179" s="163">
        <f t="shared" si="189"/>
        <v>1654000</v>
      </c>
      <c r="R179" s="165" t="s">
        <v>394</v>
      </c>
      <c r="S179" s="165" t="s">
        <v>517</v>
      </c>
      <c r="T179" s="166"/>
      <c r="U179" s="181"/>
      <c r="V179" s="164" t="s">
        <v>394</v>
      </c>
      <c r="W179" s="80" t="s">
        <v>517</v>
      </c>
      <c r="X179" s="86"/>
      <c r="Y179" s="86"/>
      <c r="Z179" s="86"/>
      <c r="AA179" s="86"/>
      <c r="AB179" s="86"/>
      <c r="AC179" s="86"/>
      <c r="AD179" s="86"/>
      <c r="AE179" s="86"/>
      <c r="AF179" s="86"/>
      <c r="AG179" s="82"/>
      <c r="AH179" s="82"/>
      <c r="AI179" s="82"/>
      <c r="AJ179" s="65">
        <f t="shared" si="164"/>
        <v>0</v>
      </c>
      <c r="AK179" s="65">
        <f t="shared" si="204"/>
        <v>0</v>
      </c>
      <c r="AL179" s="205">
        <f t="shared" si="169"/>
        <v>0</v>
      </c>
      <c r="AN179"/>
      <c r="AO179" s="216"/>
      <c r="AP179" s="216"/>
      <c r="AQ179" s="216"/>
      <c r="AR179" s="216"/>
      <c r="AS179" s="216"/>
      <c r="AT179" s="216"/>
      <c r="AU179" s="216"/>
      <c r="AV179" s="216"/>
    </row>
    <row r="180" spans="3:48" s="83" customFormat="1" ht="30.75" customHeight="1" x14ac:dyDescent="0.3">
      <c r="C180" s="66" t="s">
        <v>364</v>
      </c>
      <c r="D180" s="67" t="s">
        <v>584</v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169">
        <f t="shared" si="189"/>
        <v>0</v>
      </c>
      <c r="R180" s="175" t="s">
        <v>364</v>
      </c>
      <c r="S180" s="175" t="s">
        <v>584</v>
      </c>
      <c r="T180" s="176">
        <v>110000</v>
      </c>
      <c r="U180" s="183">
        <f t="shared" ref="U180" si="213">+Q180+T180</f>
        <v>110000</v>
      </c>
      <c r="V180" s="173" t="s">
        <v>364</v>
      </c>
      <c r="W180" s="130" t="s">
        <v>584</v>
      </c>
      <c r="X180" s="131"/>
      <c r="Y180" s="131"/>
      <c r="Z180" s="131"/>
      <c r="AA180" s="131"/>
      <c r="AB180" s="131"/>
      <c r="AC180" s="131"/>
      <c r="AD180" s="131">
        <v>0</v>
      </c>
      <c r="AE180" s="131">
        <v>67999.009999999995</v>
      </c>
      <c r="AF180" s="131"/>
      <c r="AG180" s="131"/>
      <c r="AH180" s="131"/>
      <c r="AI180" s="131"/>
      <c r="AJ180" s="132">
        <f t="shared" si="164"/>
        <v>67999.009999999995</v>
      </c>
      <c r="AK180" s="132">
        <f t="shared" si="204"/>
        <v>42000.990000000005</v>
      </c>
      <c r="AL180" s="204">
        <f t="shared" si="169"/>
        <v>0.61817281818181813</v>
      </c>
      <c r="AN180"/>
      <c r="AO180" s="131">
        <f>IFERROR(AVERAGE(X180:AD180),0)</f>
        <v>0</v>
      </c>
      <c r="AP180" s="131">
        <f>+AO180*$AO$6</f>
        <v>0</v>
      </c>
      <c r="AQ180" s="131"/>
      <c r="AR180" s="131"/>
      <c r="AS180" s="131"/>
      <c r="AT180" s="131"/>
      <c r="AU180" s="215"/>
      <c r="AV180" s="217">
        <f>+AK180-AU180</f>
        <v>42000.990000000005</v>
      </c>
    </row>
    <row r="181" spans="3:48" s="83" customFormat="1" ht="22.5" customHeight="1" x14ac:dyDescent="0.25">
      <c r="C181" s="62"/>
      <c r="D181" s="80"/>
      <c r="E181" s="86"/>
      <c r="F181" s="86"/>
      <c r="G181" s="86"/>
      <c r="H181" s="86"/>
      <c r="I181" s="86"/>
      <c r="J181" s="86"/>
      <c r="K181" s="86"/>
      <c r="L181" s="86"/>
      <c r="M181" s="86"/>
      <c r="N181" s="82"/>
      <c r="O181" s="82"/>
      <c r="P181" s="82"/>
      <c r="Q181" s="163">
        <f t="shared" si="189"/>
        <v>0</v>
      </c>
      <c r="R181" s="165"/>
      <c r="S181" s="165"/>
      <c r="T181" s="166"/>
      <c r="U181" s="181"/>
      <c r="V181" s="164"/>
      <c r="W181" s="80"/>
      <c r="X181" s="86"/>
      <c r="Y181" s="86"/>
      <c r="Z181" s="86"/>
      <c r="AA181" s="86"/>
      <c r="AB181" s="86"/>
      <c r="AC181" s="86"/>
      <c r="AD181" s="86"/>
      <c r="AE181" s="86">
        <f>+AE180/2</f>
        <v>33999.504999999997</v>
      </c>
      <c r="AF181" s="86"/>
      <c r="AG181" s="82"/>
      <c r="AH181" s="82"/>
      <c r="AI181" s="82"/>
      <c r="AJ181" s="65">
        <f t="shared" si="164"/>
        <v>33999.504999999997</v>
      </c>
      <c r="AK181" s="65">
        <f t="shared" si="204"/>
        <v>-33999.504999999997</v>
      </c>
      <c r="AL181" s="205">
        <f t="shared" si="169"/>
        <v>0</v>
      </c>
      <c r="AN181"/>
      <c r="AO181" s="216"/>
      <c r="AP181" s="216"/>
      <c r="AQ181" s="216"/>
      <c r="AR181" s="216"/>
      <c r="AS181" s="216"/>
      <c r="AT181" s="216"/>
      <c r="AU181" s="216"/>
      <c r="AV181" s="216"/>
    </row>
    <row r="182" spans="3:48" s="59" customFormat="1" ht="28.5" customHeight="1" x14ac:dyDescent="0.3">
      <c r="C182" s="66" t="s">
        <v>518</v>
      </c>
      <c r="D182" s="67" t="s">
        <v>519</v>
      </c>
      <c r="E182" s="75">
        <f t="shared" ref="E182:P182" si="214">SUM(E183)</f>
        <v>0</v>
      </c>
      <c r="F182" s="75">
        <f t="shared" si="214"/>
        <v>875000</v>
      </c>
      <c r="G182" s="75">
        <f t="shared" si="214"/>
        <v>0</v>
      </c>
      <c r="H182" s="75">
        <f t="shared" si="214"/>
        <v>0</v>
      </c>
      <c r="I182" s="75">
        <f t="shared" si="214"/>
        <v>172000</v>
      </c>
      <c r="J182" s="75">
        <f t="shared" si="214"/>
        <v>0</v>
      </c>
      <c r="K182" s="75">
        <f t="shared" si="214"/>
        <v>0</v>
      </c>
      <c r="L182" s="75">
        <f t="shared" si="214"/>
        <v>60000</v>
      </c>
      <c r="M182" s="75">
        <f t="shared" si="214"/>
        <v>0</v>
      </c>
      <c r="N182" s="75">
        <f t="shared" si="214"/>
        <v>0</v>
      </c>
      <c r="O182" s="75">
        <f t="shared" si="214"/>
        <v>0</v>
      </c>
      <c r="P182" s="75">
        <f t="shared" si="214"/>
        <v>0</v>
      </c>
      <c r="Q182" s="169">
        <f t="shared" si="189"/>
        <v>1107000</v>
      </c>
      <c r="R182" s="175" t="s">
        <v>518</v>
      </c>
      <c r="S182" s="175" t="s">
        <v>519</v>
      </c>
      <c r="T182" s="176">
        <v>-60000</v>
      </c>
      <c r="U182" s="183">
        <f t="shared" ref="U182" si="215">+Q182+T182</f>
        <v>1047000</v>
      </c>
      <c r="V182" s="173" t="s">
        <v>518</v>
      </c>
      <c r="W182" s="130" t="s">
        <v>519</v>
      </c>
      <c r="X182" s="131">
        <f t="shared" ref="X182:AI182" si="216">SUM(X183)</f>
        <v>0</v>
      </c>
      <c r="Y182" s="131">
        <f t="shared" si="216"/>
        <v>0</v>
      </c>
      <c r="Z182" s="131">
        <f t="shared" si="216"/>
        <v>0</v>
      </c>
      <c r="AA182" s="131">
        <f t="shared" si="216"/>
        <v>0</v>
      </c>
      <c r="AB182" s="131">
        <f t="shared" si="216"/>
        <v>0</v>
      </c>
      <c r="AC182" s="131">
        <f t="shared" si="216"/>
        <v>0</v>
      </c>
      <c r="AD182" s="131">
        <f t="shared" si="216"/>
        <v>0</v>
      </c>
      <c r="AE182" s="131">
        <f t="shared" si="216"/>
        <v>0</v>
      </c>
      <c r="AF182" s="131">
        <f t="shared" si="216"/>
        <v>0</v>
      </c>
      <c r="AG182" s="131">
        <f t="shared" si="216"/>
        <v>0</v>
      </c>
      <c r="AH182" s="131">
        <f t="shared" si="216"/>
        <v>0</v>
      </c>
      <c r="AI182" s="131">
        <f t="shared" si="216"/>
        <v>0</v>
      </c>
      <c r="AJ182" s="132">
        <f t="shared" si="164"/>
        <v>0</v>
      </c>
      <c r="AK182" s="220">
        <f t="shared" si="204"/>
        <v>1047000</v>
      </c>
      <c r="AL182" s="204">
        <f t="shared" si="169"/>
        <v>0</v>
      </c>
      <c r="AN182"/>
      <c r="AO182" s="131">
        <f>IFERROR(AVERAGE(X182:AD182),0)</f>
        <v>0</v>
      </c>
      <c r="AP182" s="131">
        <f>+AO182*$AO$6</f>
        <v>0</v>
      </c>
      <c r="AQ182" s="131"/>
      <c r="AR182" s="131"/>
      <c r="AS182" s="131"/>
      <c r="AT182" s="131"/>
      <c r="AU182" s="215"/>
      <c r="AV182" s="217">
        <f>+AK182-AU182</f>
        <v>1047000</v>
      </c>
    </row>
    <row r="183" spans="3:48" s="83" customFormat="1" ht="36" customHeight="1" x14ac:dyDescent="0.25">
      <c r="C183" s="62" t="s">
        <v>394</v>
      </c>
      <c r="D183" s="80" t="s">
        <v>520</v>
      </c>
      <c r="E183" s="86"/>
      <c r="F183" s="86">
        <v>875000</v>
      </c>
      <c r="G183" s="86"/>
      <c r="H183" s="86"/>
      <c r="I183" s="86">
        <v>172000</v>
      </c>
      <c r="J183" s="86"/>
      <c r="K183" s="86"/>
      <c r="L183" s="86">
        <v>60000</v>
      </c>
      <c r="M183" s="86"/>
      <c r="N183" s="82"/>
      <c r="O183" s="82"/>
      <c r="P183" s="82"/>
      <c r="Q183" s="163">
        <f t="shared" si="189"/>
        <v>1107000</v>
      </c>
      <c r="R183" s="165" t="s">
        <v>394</v>
      </c>
      <c r="S183" s="165" t="s">
        <v>520</v>
      </c>
      <c r="T183" s="166"/>
      <c r="U183" s="181"/>
      <c r="V183" s="164" t="s">
        <v>394</v>
      </c>
      <c r="W183" s="80" t="s">
        <v>520</v>
      </c>
      <c r="X183" s="86"/>
      <c r="Y183" s="86"/>
      <c r="Z183" s="86"/>
      <c r="AA183" s="86"/>
      <c r="AB183" s="86"/>
      <c r="AC183" s="86"/>
      <c r="AD183" s="86"/>
      <c r="AE183" s="86"/>
      <c r="AF183" s="86"/>
      <c r="AG183" s="82"/>
      <c r="AH183" s="82"/>
      <c r="AI183" s="82"/>
      <c r="AJ183" s="65">
        <f t="shared" si="164"/>
        <v>0</v>
      </c>
      <c r="AK183" s="65">
        <f t="shared" si="204"/>
        <v>0</v>
      </c>
      <c r="AL183" s="205">
        <f t="shared" si="169"/>
        <v>0</v>
      </c>
      <c r="AN183"/>
      <c r="AO183" s="216"/>
      <c r="AP183" s="216"/>
      <c r="AQ183" s="216"/>
      <c r="AR183" s="216"/>
      <c r="AS183" s="216"/>
      <c r="AT183" s="216"/>
      <c r="AU183" s="216"/>
      <c r="AV183" s="216"/>
    </row>
    <row r="184" spans="3:48" s="83" customFormat="1" ht="36" customHeight="1" x14ac:dyDescent="0.3">
      <c r="C184" s="66" t="s">
        <v>585</v>
      </c>
      <c r="D184" s="67" t="s">
        <v>586</v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169">
        <f t="shared" si="189"/>
        <v>0</v>
      </c>
      <c r="R184" s="175" t="s">
        <v>585</v>
      </c>
      <c r="S184" s="175" t="s">
        <v>586</v>
      </c>
      <c r="T184" s="176">
        <v>1400000</v>
      </c>
      <c r="U184" s="183">
        <f t="shared" ref="U184" si="217">+Q184+T184</f>
        <v>1400000</v>
      </c>
      <c r="V184" s="173" t="s">
        <v>585</v>
      </c>
      <c r="W184" s="130" t="s">
        <v>586</v>
      </c>
      <c r="X184" s="131"/>
      <c r="Y184" s="131"/>
      <c r="Z184" s="131"/>
      <c r="AA184" s="131"/>
      <c r="AB184" s="131"/>
      <c r="AC184" s="131"/>
      <c r="AD184" s="131">
        <v>0</v>
      </c>
      <c r="AE184" s="131"/>
      <c r="AF184" s="131"/>
      <c r="AG184" s="131"/>
      <c r="AH184" s="131"/>
      <c r="AI184" s="131"/>
      <c r="AJ184" s="132">
        <f t="shared" si="164"/>
        <v>0</v>
      </c>
      <c r="AK184" s="132">
        <f t="shared" si="204"/>
        <v>1400000</v>
      </c>
      <c r="AL184" s="204">
        <f t="shared" si="169"/>
        <v>0</v>
      </c>
      <c r="AN184"/>
      <c r="AO184" s="131">
        <f>IFERROR(AVERAGE(X184:AD184),0)</f>
        <v>0</v>
      </c>
      <c r="AP184" s="131">
        <f>+AO184*$AO$6</f>
        <v>0</v>
      </c>
      <c r="AQ184" s="131"/>
      <c r="AR184" s="131"/>
      <c r="AS184" s="131"/>
      <c r="AT184" s="131"/>
      <c r="AU184" s="215"/>
      <c r="AV184" s="217">
        <f>+AK184-AU184</f>
        <v>1400000</v>
      </c>
    </row>
    <row r="185" spans="3:48" s="83" customFormat="1" ht="36" customHeight="1" x14ac:dyDescent="0.25">
      <c r="C185" s="62"/>
      <c r="D185" s="80"/>
      <c r="E185" s="86"/>
      <c r="F185" s="86"/>
      <c r="G185" s="86"/>
      <c r="H185" s="86"/>
      <c r="I185" s="86"/>
      <c r="J185" s="86"/>
      <c r="K185" s="86"/>
      <c r="L185" s="86"/>
      <c r="M185" s="86"/>
      <c r="N185" s="82"/>
      <c r="O185" s="82"/>
      <c r="P185" s="82"/>
      <c r="Q185" s="163">
        <f t="shared" si="189"/>
        <v>0</v>
      </c>
      <c r="R185" s="165" t="s">
        <v>394</v>
      </c>
      <c r="S185" s="165"/>
      <c r="T185" s="166"/>
      <c r="U185" s="181"/>
      <c r="V185" s="164"/>
      <c r="W185" s="80"/>
      <c r="X185" s="86"/>
      <c r="Y185" s="86"/>
      <c r="Z185" s="86"/>
      <c r="AA185" s="86"/>
      <c r="AB185" s="86"/>
      <c r="AC185" s="86"/>
      <c r="AD185" s="86"/>
      <c r="AE185" s="86"/>
      <c r="AF185" s="86"/>
      <c r="AG185" s="82"/>
      <c r="AH185" s="82"/>
      <c r="AI185" s="82"/>
      <c r="AJ185" s="65">
        <f t="shared" si="164"/>
        <v>0</v>
      </c>
      <c r="AK185" s="65">
        <f t="shared" si="204"/>
        <v>0</v>
      </c>
      <c r="AL185" s="205">
        <f t="shared" si="169"/>
        <v>0</v>
      </c>
      <c r="AN185"/>
      <c r="AO185" s="216"/>
      <c r="AP185" s="216"/>
      <c r="AQ185" s="216"/>
      <c r="AR185" s="216"/>
      <c r="AS185" s="216"/>
      <c r="AT185" s="216"/>
      <c r="AU185" s="216"/>
      <c r="AV185" s="216"/>
    </row>
    <row r="186" spans="3:48" s="83" customFormat="1" ht="36" customHeight="1" x14ac:dyDescent="0.3">
      <c r="C186" s="66" t="s">
        <v>587</v>
      </c>
      <c r="D186" s="67" t="s">
        <v>588</v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169">
        <f t="shared" si="189"/>
        <v>0</v>
      </c>
      <c r="R186" s="175" t="s">
        <v>587</v>
      </c>
      <c r="S186" s="175" t="s">
        <v>588</v>
      </c>
      <c r="T186" s="176">
        <v>15000</v>
      </c>
      <c r="U186" s="183">
        <f t="shared" ref="U186" si="218">+Q186+T186</f>
        <v>15000</v>
      </c>
      <c r="V186" s="173" t="s">
        <v>587</v>
      </c>
      <c r="W186" s="130" t="s">
        <v>588</v>
      </c>
      <c r="X186" s="131"/>
      <c r="Y186" s="131"/>
      <c r="Z186" s="131"/>
      <c r="AA186" s="131"/>
      <c r="AB186" s="131"/>
      <c r="AC186" s="131"/>
      <c r="AD186" s="131">
        <v>0</v>
      </c>
      <c r="AE186" s="131"/>
      <c r="AF186" s="131"/>
      <c r="AG186" s="131"/>
      <c r="AH186" s="131"/>
      <c r="AI186" s="131"/>
      <c r="AJ186" s="132">
        <f t="shared" si="164"/>
        <v>0</v>
      </c>
      <c r="AK186" s="132">
        <f t="shared" si="204"/>
        <v>15000</v>
      </c>
      <c r="AL186" s="204">
        <f t="shared" si="169"/>
        <v>0</v>
      </c>
      <c r="AN186"/>
      <c r="AO186" s="131">
        <f>IFERROR(AVERAGE(X186:AD186),0)</f>
        <v>0</v>
      </c>
      <c r="AP186" s="131">
        <f>+AO186*$AO$6</f>
        <v>0</v>
      </c>
      <c r="AQ186" s="131"/>
      <c r="AR186" s="131"/>
      <c r="AS186" s="131"/>
      <c r="AT186" s="131"/>
      <c r="AU186" s="215"/>
      <c r="AV186" s="217">
        <f>+AK186-AU186</f>
        <v>15000</v>
      </c>
    </row>
    <row r="187" spans="3:48" s="83" customFormat="1" ht="36" customHeight="1" x14ac:dyDescent="0.25">
      <c r="C187" s="62"/>
      <c r="D187" s="80"/>
      <c r="E187" s="86"/>
      <c r="F187" s="86"/>
      <c r="G187" s="86"/>
      <c r="H187" s="86"/>
      <c r="I187" s="86"/>
      <c r="J187" s="86"/>
      <c r="K187" s="86"/>
      <c r="L187" s="86"/>
      <c r="M187" s="86"/>
      <c r="N187" s="82"/>
      <c r="O187" s="82"/>
      <c r="P187" s="82"/>
      <c r="Q187" s="163">
        <f t="shared" si="189"/>
        <v>0</v>
      </c>
      <c r="R187" s="165"/>
      <c r="S187" s="165"/>
      <c r="T187" s="166"/>
      <c r="U187" s="181"/>
      <c r="V187" s="164"/>
      <c r="W187" s="80"/>
      <c r="X187" s="86"/>
      <c r="Y187" s="86"/>
      <c r="Z187" s="86"/>
      <c r="AA187" s="86"/>
      <c r="AB187" s="86"/>
      <c r="AC187" s="86"/>
      <c r="AD187" s="86"/>
      <c r="AE187" s="86"/>
      <c r="AF187" s="86"/>
      <c r="AG187" s="82"/>
      <c r="AH187" s="82"/>
      <c r="AI187" s="82"/>
      <c r="AJ187" s="65">
        <f t="shared" si="164"/>
        <v>0</v>
      </c>
      <c r="AK187" s="65">
        <f t="shared" si="204"/>
        <v>0</v>
      </c>
      <c r="AL187" s="205">
        <f t="shared" si="169"/>
        <v>0</v>
      </c>
      <c r="AN187"/>
      <c r="AO187" s="216"/>
      <c r="AP187" s="216"/>
      <c r="AQ187" s="216"/>
      <c r="AR187" s="216"/>
      <c r="AS187" s="216"/>
      <c r="AT187" s="216"/>
      <c r="AU187" s="216"/>
      <c r="AV187" s="216"/>
    </row>
    <row r="188" spans="3:48" s="59" customFormat="1" ht="39" customHeight="1" x14ac:dyDescent="0.3">
      <c r="C188" s="66" t="s">
        <v>521</v>
      </c>
      <c r="D188" s="67" t="s">
        <v>522</v>
      </c>
      <c r="E188" s="75">
        <f t="shared" ref="E188:P188" si="219">SUM(E189)</f>
        <v>0</v>
      </c>
      <c r="F188" s="75">
        <f t="shared" si="219"/>
        <v>1400000</v>
      </c>
      <c r="G188" s="75">
        <f t="shared" si="219"/>
        <v>0</v>
      </c>
      <c r="H188" s="75">
        <f t="shared" si="219"/>
        <v>0</v>
      </c>
      <c r="I188" s="75">
        <f t="shared" si="219"/>
        <v>2800000</v>
      </c>
      <c r="J188" s="75">
        <f t="shared" si="219"/>
        <v>0</v>
      </c>
      <c r="K188" s="75">
        <f t="shared" si="219"/>
        <v>0</v>
      </c>
      <c r="L188" s="75">
        <f t="shared" si="219"/>
        <v>2750000</v>
      </c>
      <c r="M188" s="75">
        <f t="shared" si="219"/>
        <v>0</v>
      </c>
      <c r="N188" s="75">
        <f t="shared" si="219"/>
        <v>1572000</v>
      </c>
      <c r="O188" s="75">
        <f t="shared" si="219"/>
        <v>0</v>
      </c>
      <c r="P188" s="75">
        <f t="shared" si="219"/>
        <v>0</v>
      </c>
      <c r="Q188" s="169">
        <f t="shared" si="189"/>
        <v>8522000</v>
      </c>
      <c r="R188" s="175" t="s">
        <v>521</v>
      </c>
      <c r="S188" s="175" t="s">
        <v>522</v>
      </c>
      <c r="T188" s="176">
        <v>-8472000</v>
      </c>
      <c r="U188" s="183">
        <f t="shared" ref="U188" si="220">+Q188+T188</f>
        <v>50000</v>
      </c>
      <c r="V188" s="173" t="s">
        <v>521</v>
      </c>
      <c r="W188" s="130" t="s">
        <v>522</v>
      </c>
      <c r="X188" s="131">
        <f t="shared" ref="X188:AC188" si="221">SUM(X189)</f>
        <v>0</v>
      </c>
      <c r="Y188" s="131">
        <f t="shared" si="221"/>
        <v>0</v>
      </c>
      <c r="Z188" s="131">
        <f t="shared" si="221"/>
        <v>0</v>
      </c>
      <c r="AA188" s="131">
        <f t="shared" si="221"/>
        <v>0</v>
      </c>
      <c r="AB188" s="131">
        <f t="shared" si="221"/>
        <v>0</v>
      </c>
      <c r="AC188" s="131">
        <f t="shared" si="221"/>
        <v>0</v>
      </c>
      <c r="AD188" s="131">
        <v>0</v>
      </c>
      <c r="AE188" s="131">
        <f>SUM(AE189)</f>
        <v>0</v>
      </c>
      <c r="AF188" s="131">
        <f>SUM(AF189)</f>
        <v>0</v>
      </c>
      <c r="AG188" s="131">
        <f>SUM(AG189)</f>
        <v>0</v>
      </c>
      <c r="AH188" s="131">
        <f>SUM(AH189)</f>
        <v>0</v>
      </c>
      <c r="AI188" s="131">
        <f>SUM(AI189)</f>
        <v>0</v>
      </c>
      <c r="AJ188" s="132">
        <f t="shared" si="164"/>
        <v>0</v>
      </c>
      <c r="AK188" s="132">
        <f t="shared" si="204"/>
        <v>50000</v>
      </c>
      <c r="AL188" s="204">
        <f t="shared" si="169"/>
        <v>0</v>
      </c>
      <c r="AN188"/>
      <c r="AO188" s="131">
        <f>IFERROR(AVERAGE(X188:AD188),0)</f>
        <v>0</v>
      </c>
      <c r="AP188" s="131">
        <f>+AO188*$AO$6</f>
        <v>0</v>
      </c>
      <c r="AQ188" s="131"/>
      <c r="AR188" s="131"/>
      <c r="AS188" s="131"/>
      <c r="AT188" s="131"/>
      <c r="AU188" s="215"/>
      <c r="AV188" s="217">
        <f>+AK188-AU188</f>
        <v>50000</v>
      </c>
    </row>
    <row r="189" spans="3:48" s="83" customFormat="1" ht="39" customHeight="1" x14ac:dyDescent="0.25">
      <c r="C189" s="62" t="s">
        <v>394</v>
      </c>
      <c r="D189" s="80" t="s">
        <v>523</v>
      </c>
      <c r="E189" s="86"/>
      <c r="F189" s="86">
        <v>1400000</v>
      </c>
      <c r="G189" s="86"/>
      <c r="H189" s="86"/>
      <c r="I189" s="86">
        <v>2800000</v>
      </c>
      <c r="J189" s="86"/>
      <c r="K189" s="86"/>
      <c r="L189" s="86">
        <v>2750000</v>
      </c>
      <c r="M189" s="86"/>
      <c r="N189" s="82">
        <v>1572000</v>
      </c>
      <c r="O189" s="82"/>
      <c r="P189" s="82"/>
      <c r="Q189" s="163">
        <f t="shared" si="189"/>
        <v>8522000</v>
      </c>
      <c r="R189" s="165" t="s">
        <v>394</v>
      </c>
      <c r="S189" s="165" t="s">
        <v>523</v>
      </c>
      <c r="T189" s="166"/>
      <c r="U189" s="181"/>
      <c r="V189" s="164" t="s">
        <v>394</v>
      </c>
      <c r="W189" s="80" t="s">
        <v>523</v>
      </c>
      <c r="X189" s="86"/>
      <c r="Y189" s="86"/>
      <c r="Z189" s="86"/>
      <c r="AA189" s="86"/>
      <c r="AB189" s="86"/>
      <c r="AC189" s="86"/>
      <c r="AD189" s="86"/>
      <c r="AE189" s="86"/>
      <c r="AF189" s="86"/>
      <c r="AG189" s="82"/>
      <c r="AH189" s="82"/>
      <c r="AI189" s="82"/>
      <c r="AJ189" s="65">
        <f t="shared" si="164"/>
        <v>0</v>
      </c>
      <c r="AK189" s="65">
        <f t="shared" si="204"/>
        <v>0</v>
      </c>
      <c r="AL189" s="205">
        <f t="shared" si="169"/>
        <v>0</v>
      </c>
      <c r="AN189"/>
      <c r="AO189" s="216"/>
      <c r="AP189" s="216"/>
      <c r="AQ189" s="216"/>
      <c r="AR189" s="216"/>
      <c r="AS189" s="216"/>
      <c r="AT189" s="216"/>
      <c r="AU189" s="216"/>
      <c r="AV189" s="216"/>
    </row>
    <row r="190" spans="3:48" s="59" customFormat="1" ht="26.25" customHeight="1" x14ac:dyDescent="0.3">
      <c r="C190" s="66" t="s">
        <v>371</v>
      </c>
      <c r="D190" s="67" t="s">
        <v>605</v>
      </c>
      <c r="E190" s="75"/>
      <c r="F190" s="75">
        <v>1500000</v>
      </c>
      <c r="G190" s="75"/>
      <c r="H190" s="75"/>
      <c r="I190" s="75"/>
      <c r="J190" s="75"/>
      <c r="K190" s="75"/>
      <c r="L190" s="75"/>
      <c r="M190" s="75"/>
      <c r="N190" s="68"/>
      <c r="O190" s="68"/>
      <c r="P190" s="68"/>
      <c r="Q190" s="169">
        <f t="shared" si="189"/>
        <v>1500000</v>
      </c>
      <c r="R190" s="175" t="s">
        <v>371</v>
      </c>
      <c r="S190" s="175" t="s">
        <v>372</v>
      </c>
      <c r="T190" s="176">
        <v>-1500000</v>
      </c>
      <c r="U190" s="176">
        <f t="shared" ref="U190:U191" si="222">+Q190+T190</f>
        <v>0</v>
      </c>
      <c r="V190" s="173" t="s">
        <v>371</v>
      </c>
      <c r="W190" s="130" t="s">
        <v>372</v>
      </c>
      <c r="X190" s="131"/>
      <c r="Y190" s="131"/>
      <c r="Z190" s="131"/>
      <c r="AA190" s="131"/>
      <c r="AB190" s="131"/>
      <c r="AC190" s="131"/>
      <c r="AD190" s="131">
        <v>0</v>
      </c>
      <c r="AE190" s="131"/>
      <c r="AF190" s="131"/>
      <c r="AG190" s="131"/>
      <c r="AH190" s="131"/>
      <c r="AI190" s="131"/>
      <c r="AJ190" s="132">
        <f t="shared" si="164"/>
        <v>0</v>
      </c>
      <c r="AK190" s="132">
        <f t="shared" si="204"/>
        <v>0</v>
      </c>
      <c r="AL190" s="204">
        <f t="shared" si="169"/>
        <v>0</v>
      </c>
      <c r="AN190"/>
      <c r="AO190" s="131">
        <f>IFERROR(AVERAGE(X190:AD190),0)</f>
        <v>0</v>
      </c>
      <c r="AP190" s="131">
        <f>+AO190*$AO$6</f>
        <v>0</v>
      </c>
      <c r="AQ190" s="131"/>
      <c r="AR190" s="131"/>
      <c r="AS190" s="131"/>
      <c r="AT190" s="131"/>
      <c r="AU190" s="215"/>
      <c r="AV190" s="217">
        <f t="shared" ref="AV190:AV191" si="223">+AK190-AU190</f>
        <v>0</v>
      </c>
    </row>
    <row r="191" spans="3:48" s="59" customFormat="1" ht="36" customHeight="1" thickBot="1" x14ac:dyDescent="0.35">
      <c r="C191" s="187" t="s">
        <v>383</v>
      </c>
      <c r="D191" s="188" t="s">
        <v>589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90"/>
      <c r="O191" s="190"/>
      <c r="P191" s="190"/>
      <c r="Q191" s="194">
        <f t="shared" ref="Q191" si="224">SUM(E191:P191)</f>
        <v>0</v>
      </c>
      <c r="R191" s="175" t="s">
        <v>383</v>
      </c>
      <c r="S191" s="175" t="s">
        <v>589</v>
      </c>
      <c r="T191" s="176">
        <v>62000000</v>
      </c>
      <c r="U191" s="176">
        <f t="shared" si="222"/>
        <v>62000000</v>
      </c>
      <c r="V191" s="195" t="s">
        <v>383</v>
      </c>
      <c r="W191" s="191" t="s">
        <v>589</v>
      </c>
      <c r="X191" s="192"/>
      <c r="Y191" s="192"/>
      <c r="Z191" s="192"/>
      <c r="AA191" s="192"/>
      <c r="AB191" s="192"/>
      <c r="AC191" s="192">
        <v>3625763.9</v>
      </c>
      <c r="AD191" s="192">
        <v>-3625763.9</v>
      </c>
      <c r="AE191" s="192"/>
      <c r="AF191" s="192">
        <v>8476527.7200000007</v>
      </c>
      <c r="AG191" s="192"/>
      <c r="AH191" s="192"/>
      <c r="AI191" s="192"/>
      <c r="AJ191" s="193">
        <f t="shared" si="164"/>
        <v>8476527.7200000007</v>
      </c>
      <c r="AK191" s="193">
        <f t="shared" si="204"/>
        <v>53523472.280000001</v>
      </c>
      <c r="AL191" s="204">
        <f t="shared" si="169"/>
        <v>0.13671818903225808</v>
      </c>
      <c r="AN191"/>
      <c r="AO191" s="131">
        <f>+AK191</f>
        <v>53523472.280000001</v>
      </c>
      <c r="AP191" s="131">
        <f>+AO191/5</f>
        <v>10704694.456</v>
      </c>
      <c r="AQ191" s="131">
        <f>+AP191</f>
        <v>10704694.456</v>
      </c>
      <c r="AR191" s="131">
        <f t="shared" ref="AR191:AT191" si="225">+AQ191</f>
        <v>10704694.456</v>
      </c>
      <c r="AS191" s="131">
        <f t="shared" si="225"/>
        <v>10704694.456</v>
      </c>
      <c r="AT191" s="131">
        <f t="shared" si="225"/>
        <v>10704694.456</v>
      </c>
      <c r="AU191" s="215">
        <f t="shared" ref="AU191" si="226">SUM(AP191:AT191)</f>
        <v>53523472.280000001</v>
      </c>
      <c r="AV191" s="217">
        <f t="shared" si="223"/>
        <v>0</v>
      </c>
    </row>
    <row r="192" spans="3:48" s="59" customFormat="1" ht="33.75" customHeight="1" thickBot="1" x14ac:dyDescent="0.3">
      <c r="C192" s="90" t="s">
        <v>524</v>
      </c>
      <c r="D192" s="91"/>
      <c r="E192" s="92">
        <f t="shared" ref="E192:Q192" si="227">+E190+E188+E182+E178+E176+E174+E173+E172+E171+E166+E162+E160+E152+E151+E154+E149+E143+E141+E139+E138+E137+E136+E134+E133+E130+E129+E128+E126+E124+E122+E119+E116+E113+E110+E109+E106+E101+E99+E97+E96+E95+E9+E94+E90+E88+E85+E84+E83+E80+E76+E73+E72+E71+E70+E69+E68+E67+E63+E59+E55+E54+E49+E53+E45+E43+E42+E37+E35+E33+E17+E13+E147+E89+E103+E21+E93+E158+E191+E186+E184+E180+E170+E164+E150+E148+E105+E104+E100+E44+E31+E29+E25+E41</f>
        <v>8656699.9166666679</v>
      </c>
      <c r="F192" s="92">
        <f t="shared" si="227"/>
        <v>28345135.916666668</v>
      </c>
      <c r="G192" s="92">
        <f t="shared" si="227"/>
        <v>14438699.916666666</v>
      </c>
      <c r="H192" s="92">
        <f t="shared" si="227"/>
        <v>9896569.9166666679</v>
      </c>
      <c r="I192" s="92">
        <f t="shared" si="227"/>
        <v>23917748.916666668</v>
      </c>
      <c r="J192" s="92">
        <f t="shared" si="227"/>
        <v>19620199.916666664</v>
      </c>
      <c r="K192" s="92">
        <f t="shared" si="227"/>
        <v>12377199.916666664</v>
      </c>
      <c r="L192" s="92">
        <f t="shared" si="227"/>
        <v>23581034.916666672</v>
      </c>
      <c r="M192" s="92">
        <f t="shared" si="227"/>
        <v>8632199.9166666679</v>
      </c>
      <c r="N192" s="92">
        <f t="shared" si="227"/>
        <v>14175199.916666666</v>
      </c>
      <c r="O192" s="92">
        <f t="shared" si="227"/>
        <v>34883443.916666664</v>
      </c>
      <c r="P192" s="92">
        <f t="shared" si="227"/>
        <v>8630199.9166666679</v>
      </c>
      <c r="Q192" s="93">
        <f t="shared" si="227"/>
        <v>207154333</v>
      </c>
      <c r="R192" s="196"/>
      <c r="S192" s="196"/>
      <c r="T192" s="93">
        <f>+T190+T188+T182+T178+T176+T174+T173+T172+T171+T166+T162+T160+T152+T151+T154+T149+T143+T141+T139+T138+T137+T136+T134+T133+T130+T129+T128+T126+T124+T122+T119+T116+T113+T110+T109+T106+T101+T99+T97+T96+T95+T9+T94+T90+T88+T85+T84+T83+T80+T76+T73+T72+T71+T70+T69+T68+T67+T63+T59+T55+T54+T49+T53+T45+T43+T42+T37+T35+T33+T17+T13+T147+T89+T103+T21+T93+T158+T191+T186+T184+T180+T170+T164+T150+T148+T105+T104+T100+T44+T31+T29+T25+T41+T98+T112+T102</f>
        <v>81580969.040000007</v>
      </c>
      <c r="U192" s="93">
        <f t="shared" ref="U192" si="228">+U190+U188+U182+U178+U176+U174+U173+U172+U171+U166+U162+U160+U152+U151+U154+U149+U143+U141+U139+U138+U137+U136+U134+U133+U130+U129+U128+U126+U124+U122+U119+U116+U113+U110+U109+U106+U101+U99+U97+U96+U95+U9+U94+U90+U88+U85+U84+U83+U80+U76+U73+U72+U71+U70+U69+U68+U67+U63+U59+U55+U54+U49+U53+U45+U43+U42+U37+U35+U33+U17+U13+U147+U89+U103+U21+U93+U158+U191+U186+U184+U180+U170+U164+U150+U148+U105+U104+U100+U44+U31+U29+U25+U41+U98+U112+U102</f>
        <v>288735302.04000002</v>
      </c>
      <c r="V192" s="90" t="s">
        <v>524</v>
      </c>
      <c r="W192" s="91"/>
      <c r="X192" s="92">
        <f t="shared" ref="X192:AK192" si="229">+X190+X188+X182+X178+X176+X174+X173+X172+X171+X166+X162+X160+X152+X151+X154+X149+X143+X141+X139+X138+X137+X136+X134+X133+X130+X129+X128+X126+X124+X122+X119+X116+X113+X110+X109+X106+X101+X99+X97+X96+X95+X9+X94+X90+X88+X85+X84+X83+X80+X76+X73+X72+X71+X70+X69+X68+X67+X63+X59+X55+X54+X49+X53+X45+X43+X42+X37+X35+X33+X17+X13+X147+X89+X103+X21+X93+X158+X191+X186+X184+X180+X170+X164+X150+X148+X105+X104+X100+X44+X31+X29+X25+X41+X98+X112+X102</f>
        <v>6068436.25</v>
      </c>
      <c r="Y192" s="92">
        <f t="shared" si="229"/>
        <v>9030255.6100000013</v>
      </c>
      <c r="Z192" s="92">
        <f t="shared" si="229"/>
        <v>10095025.420000002</v>
      </c>
      <c r="AA192" s="92">
        <f t="shared" si="229"/>
        <v>9254161.0600000005</v>
      </c>
      <c r="AB192" s="92">
        <f t="shared" si="229"/>
        <v>12568133.68</v>
      </c>
      <c r="AC192" s="92">
        <f t="shared" si="229"/>
        <v>18340120.25</v>
      </c>
      <c r="AD192" s="92">
        <f t="shared" si="229"/>
        <v>5876140.9499999993</v>
      </c>
      <c r="AE192" s="92">
        <f t="shared" si="229"/>
        <v>9294103.2200000007</v>
      </c>
      <c r="AF192" s="92">
        <f t="shared" si="229"/>
        <v>18955929.210000001</v>
      </c>
      <c r="AG192" s="92">
        <f t="shared" si="229"/>
        <v>5965250</v>
      </c>
      <c r="AH192" s="92">
        <f t="shared" si="229"/>
        <v>0</v>
      </c>
      <c r="AI192" s="92">
        <f t="shared" si="229"/>
        <v>0</v>
      </c>
      <c r="AJ192" s="92">
        <f t="shared" si="229"/>
        <v>105447555.65000001</v>
      </c>
      <c r="AK192" s="92">
        <f t="shared" si="229"/>
        <v>183257688.38999999</v>
      </c>
      <c r="AL192" s="205">
        <f t="shared" si="169"/>
        <v>0.36520492958423145</v>
      </c>
      <c r="AN192"/>
      <c r="AO192" s="92">
        <f t="shared" ref="AO192:AV192" si="230">+AO190+AO188+AO182+AO178+AO176+AO174+AO173+AO172+AO171+AO166+AO162+AO160+AO152+AO151+AO154+AO149+AO143+AO141+AO139+AO138+AO137+AO136+AO134+AO133+AO130+AO129+AO128+AO126+AO124+AO122+AO119+AO116+AO113+AO110+AO109+AO106+AO101+AO99+AO97+AO96+AO95+AO9+AO94+AO90+AO88+AO85+AO84+AO83+AO80+AO76+AO73+AO72+AO71+AO70+AO69+AO68+AO67+AO63+AO59+AO55+AO54+AO49+AO53+AO45+AO43+AO42+AO37+AO35+AO33+AO17+AO13+AO147+AO89+AO103+AO21+AO93+AO158+AO191+AO186+AO184+AO180+AO170+AO164+AO150+AO148+AO105+AO104+AO100+AO44+AO31+AO29+AO25+AO41</f>
        <v>99880106.981952369</v>
      </c>
      <c r="AP192" s="92">
        <f t="shared" si="230"/>
        <v>23843403.101952378</v>
      </c>
      <c r="AQ192" s="92">
        <f t="shared" si="230"/>
        <v>23022274.050523806</v>
      </c>
      <c r="AR192" s="92">
        <f t="shared" si="230"/>
        <v>19733571.650523812</v>
      </c>
      <c r="AS192" s="92">
        <f t="shared" si="230"/>
        <v>46538554.670523815</v>
      </c>
      <c r="AT192" s="92">
        <f t="shared" si="230"/>
        <v>19685618.05052381</v>
      </c>
      <c r="AU192" s="92">
        <f t="shared" si="230"/>
        <v>122765689.25952381</v>
      </c>
      <c r="AV192" s="92">
        <f t="shared" si="230"/>
        <v>60487030.800476208</v>
      </c>
    </row>
    <row r="193" spans="2:48" ht="18.75" x14ac:dyDescent="0.3">
      <c r="B193" s="54"/>
      <c r="C193" s="54"/>
      <c r="D193" s="54"/>
      <c r="E193" s="94">
        <f t="shared" ref="E193:P193" si="231">E9+E13+E17+E33+E35+E37+E42+E43+E45+E49+E53+E54+E55+E59+E63+E67+E68+E69+E70+E71+E72+E73+E76+E80+E83+E84+E85+E88+E90+E94+E95+E96+E97+E99+E101+E106+E109+E110+E113+E116+E119+E122+E124+E126+E128+E129+E130+E133+E134+E136+E137+E138+E139+E141+E143+E147+E149+E151+E152+E154+E160+E162+E166+E171+E172+E173+E174+E176+E178+E182+E188+E190</f>
        <v>8656699.9166666679</v>
      </c>
      <c r="F193" s="95">
        <f t="shared" si="231"/>
        <v>28345135.916666668</v>
      </c>
      <c r="G193" s="94">
        <f t="shared" si="231"/>
        <v>14438699.916666666</v>
      </c>
      <c r="H193" s="94">
        <f t="shared" si="231"/>
        <v>9896569.9166666679</v>
      </c>
      <c r="I193" s="95">
        <f t="shared" si="231"/>
        <v>23917748.916666668</v>
      </c>
      <c r="J193" s="95">
        <f t="shared" si="231"/>
        <v>19620199.916666664</v>
      </c>
      <c r="K193" s="94">
        <f t="shared" si="231"/>
        <v>12377199.916666668</v>
      </c>
      <c r="L193" s="95">
        <f t="shared" si="231"/>
        <v>23581034.916666668</v>
      </c>
      <c r="M193" s="94">
        <f t="shared" si="231"/>
        <v>8632199.9166666679</v>
      </c>
      <c r="N193" s="95">
        <f t="shared" si="231"/>
        <v>14175199.916666668</v>
      </c>
      <c r="O193" s="94">
        <f t="shared" si="231"/>
        <v>34883443.916666672</v>
      </c>
      <c r="P193" s="94">
        <f t="shared" si="231"/>
        <v>8630199.9166666679</v>
      </c>
      <c r="Q193" s="94">
        <f>E193+F193+G193+H193+I193+J193+K193+L193+M193+N193+O193+P193</f>
        <v>207154332.99999997</v>
      </c>
      <c r="R193" s="94"/>
      <c r="S193" s="94"/>
      <c r="T193" s="94"/>
      <c r="U193" s="197">
        <f>+T192+Q192</f>
        <v>288735302.04000002</v>
      </c>
      <c r="AJ193" s="50">
        <f>+AJ192-'Reporte Devengado Aprobado'!P13</f>
        <v>-85063535.159999996</v>
      </c>
      <c r="AK193" s="115">
        <f>+AJ192/U192</f>
        <v>0.36520492958423145</v>
      </c>
      <c r="AV193">
        <v>17800000</v>
      </c>
    </row>
    <row r="194" spans="2:48" x14ac:dyDescent="0.25">
      <c r="B194" s="54"/>
      <c r="C194" s="54"/>
      <c r="D194" s="54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3"/>
      <c r="R194" s="3"/>
      <c r="S194" s="3"/>
      <c r="T194" s="3">
        <v>81880766.879999995</v>
      </c>
      <c r="U194" s="3">
        <v>289035099.88</v>
      </c>
      <c r="X194" s="50"/>
      <c r="AV194">
        <v>15000000</v>
      </c>
    </row>
    <row r="195" spans="2:48" x14ac:dyDescent="0.25">
      <c r="B195" s="54"/>
      <c r="C195" s="54"/>
      <c r="D195" s="54"/>
      <c r="E195" s="53"/>
      <c r="F195" s="53">
        <f>F192-F193</f>
        <v>0</v>
      </c>
      <c r="G195" s="53"/>
      <c r="H195" s="53"/>
      <c r="I195" s="53">
        <f>I192-I193</f>
        <v>0</v>
      </c>
      <c r="J195" s="53">
        <f>J192-J193</f>
        <v>0</v>
      </c>
      <c r="K195" s="53"/>
      <c r="L195" s="53">
        <f>L192-L193</f>
        <v>0</v>
      </c>
      <c r="M195" s="53"/>
      <c r="N195" s="53">
        <f>N192-N193</f>
        <v>0</v>
      </c>
      <c r="O195" s="53"/>
      <c r="P195" s="53"/>
      <c r="Q195" s="53">
        <f>+Q192-'[5]PRESUPUESTO SIGEF 2022'!$Y$208</f>
        <v>-162817</v>
      </c>
      <c r="R195" s="53"/>
      <c r="S195" s="53"/>
      <c r="T195" s="53">
        <f>+T192-T194</f>
        <v>-299797.83999998868</v>
      </c>
      <c r="U195" s="53"/>
      <c r="X195" s="50">
        <f>+'Reporte Devengado Aprobado'!D13</f>
        <v>6106229.4399999995</v>
      </c>
      <c r="Y195" s="50">
        <f>+'Reporte Devengado Aprobado'!E13</f>
        <v>9030255.6099999994</v>
      </c>
      <c r="Z195" s="50">
        <f>+'Reporte Devengado Aprobado'!F13</f>
        <v>10095025.42</v>
      </c>
      <c r="AA195" s="50">
        <f>+'Reporte Devengado Aprobado'!G13</f>
        <v>9254161.0600000005</v>
      </c>
      <c r="AB195" s="3">
        <v>12568133.679999998</v>
      </c>
      <c r="AC195" s="50">
        <v>18340120.25</v>
      </c>
      <c r="AD195" s="3">
        <v>5876140.9500000002</v>
      </c>
      <c r="AK195" s="50">
        <f>+AK192-'[5]PRESUPUESTO SIGEF 2022'!$E$205</f>
        <v>-27010895.879999995</v>
      </c>
    </row>
    <row r="196" spans="2:48" ht="15.75" x14ac:dyDescent="0.25">
      <c r="B196" s="54"/>
      <c r="C196" s="54"/>
      <c r="D196" s="54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264" t="s">
        <v>604</v>
      </c>
      <c r="W196" s="265"/>
      <c r="X196" s="221">
        <f>+X195-X192</f>
        <v>37793.189999999478</v>
      </c>
      <c r="Y196" s="222">
        <f>+Y195-Y192</f>
        <v>0</v>
      </c>
      <c r="Z196" s="221">
        <f>+Z195-Z192</f>
        <v>0</v>
      </c>
      <c r="AA196" s="221">
        <f>+AA192-AA195</f>
        <v>0</v>
      </c>
      <c r="AB196" s="221">
        <f>+AB195-AB192</f>
        <v>0</v>
      </c>
      <c r="AC196" s="221">
        <f>+AC195-AC192</f>
        <v>0</v>
      </c>
      <c r="AD196" s="221">
        <f>+AD195-AD192</f>
        <v>0</v>
      </c>
      <c r="AE196" s="1"/>
      <c r="AF196" s="1"/>
      <c r="AG196" s="1"/>
      <c r="AH196" s="1"/>
      <c r="AI196" s="1"/>
      <c r="AJ196" s="232" t="s">
        <v>606</v>
      </c>
    </row>
    <row r="197" spans="2:48" x14ac:dyDescent="0.25">
      <c r="B197" s="54"/>
      <c r="C197" s="54"/>
      <c r="D197" s="54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>
        <f>+T195/2</f>
        <v>-149898.91999999434</v>
      </c>
      <c r="U197" s="53"/>
      <c r="V197" s="1" t="s">
        <v>345</v>
      </c>
      <c r="W197" s="1" t="s">
        <v>514</v>
      </c>
      <c r="X197" s="1"/>
      <c r="Y197" s="222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223">
        <v>10000000</v>
      </c>
    </row>
    <row r="198" spans="2:48" x14ac:dyDescent="0.25">
      <c r="B198" s="54"/>
      <c r="C198" s="54"/>
      <c r="D198" s="54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1" t="s">
        <v>518</v>
      </c>
      <c r="W198" s="1" t="s">
        <v>519</v>
      </c>
      <c r="X198" s="1"/>
      <c r="Y198" s="22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223">
        <v>1000000</v>
      </c>
      <c r="AL198" s="3"/>
    </row>
    <row r="199" spans="2:48" x14ac:dyDescent="0.25">
      <c r="B199" s="54"/>
      <c r="C199" s="54"/>
      <c r="D199" s="54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1" t="s">
        <v>348</v>
      </c>
      <c r="W199" s="1" t="s">
        <v>516</v>
      </c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223">
        <v>1000000</v>
      </c>
    </row>
    <row r="200" spans="2:48" x14ac:dyDescent="0.25">
      <c r="B200" s="54"/>
      <c r="C200" s="54"/>
      <c r="D200" s="54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1" t="s">
        <v>255</v>
      </c>
      <c r="W200" s="1" t="s">
        <v>471</v>
      </c>
      <c r="X200" s="1"/>
      <c r="Y200" s="1"/>
      <c r="Z200" s="1"/>
      <c r="AA200" s="1"/>
      <c r="AB200" s="1"/>
      <c r="AC200" s="1"/>
      <c r="AD200" s="223">
        <v>317543.37500000006</v>
      </c>
      <c r="AE200" s="223">
        <v>304869.31</v>
      </c>
      <c r="AF200" s="1"/>
      <c r="AG200" s="1"/>
      <c r="AH200" s="1"/>
      <c r="AI200" s="1"/>
      <c r="AJ200" s="223">
        <v>2000000</v>
      </c>
    </row>
    <row r="201" spans="2:48" x14ac:dyDescent="0.25">
      <c r="B201" s="54"/>
      <c r="C201" s="54"/>
      <c r="D201" s="54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1" t="s">
        <v>261</v>
      </c>
      <c r="W201" s="1" t="s">
        <v>477</v>
      </c>
      <c r="X201" s="1"/>
      <c r="Y201" s="1"/>
      <c r="Z201" s="1"/>
      <c r="AA201" s="1"/>
      <c r="AB201" s="1"/>
      <c r="AC201" s="1"/>
      <c r="AD201" s="223">
        <v>317991.24999999994</v>
      </c>
      <c r="AE201" s="223">
        <v>317965.69</v>
      </c>
      <c r="AF201" s="1"/>
      <c r="AG201" s="1"/>
      <c r="AH201" s="1"/>
      <c r="AI201" s="1"/>
      <c r="AJ201" s="223">
        <v>1000000</v>
      </c>
    </row>
    <row r="202" spans="2:48" x14ac:dyDescent="0.25">
      <c r="B202" s="54"/>
      <c r="C202" s="54"/>
      <c r="D202" s="54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1" t="s">
        <v>167</v>
      </c>
      <c r="W202" s="1" t="s">
        <v>429</v>
      </c>
      <c r="X202" s="1"/>
      <c r="Y202" s="1"/>
      <c r="Z202" s="1"/>
      <c r="AA202" s="1"/>
      <c r="AB202" s="1"/>
      <c r="AC202" s="1"/>
      <c r="AD202" s="223"/>
      <c r="AE202" s="223"/>
      <c r="AF202" s="1"/>
      <c r="AG202" s="1"/>
      <c r="AH202" s="1"/>
      <c r="AI202" s="1"/>
      <c r="AJ202" s="223">
        <v>2000000</v>
      </c>
    </row>
    <row r="203" spans="2:48" x14ac:dyDescent="0.25">
      <c r="B203" s="54"/>
      <c r="C203" s="54"/>
      <c r="D203" s="54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1" t="s">
        <v>164</v>
      </c>
      <c r="W203" s="1" t="s">
        <v>163</v>
      </c>
      <c r="X203" s="1"/>
      <c r="Y203" s="1"/>
      <c r="Z203" s="1"/>
      <c r="AA203" s="1"/>
      <c r="AB203" s="1"/>
      <c r="AC203" s="1"/>
      <c r="AD203" s="223"/>
      <c r="AE203" s="223"/>
      <c r="AF203" s="1"/>
      <c r="AG203" s="1"/>
      <c r="AH203" s="1"/>
      <c r="AI203" s="1"/>
      <c r="AJ203" s="223">
        <v>1000000</v>
      </c>
    </row>
    <row r="204" spans="2:48" x14ac:dyDescent="0.25">
      <c r="B204" s="54"/>
      <c r="C204" s="54"/>
      <c r="D204" s="54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226"/>
      <c r="W204" s="227"/>
      <c r="X204" s="227"/>
      <c r="Y204" s="227"/>
      <c r="Z204" s="227"/>
      <c r="AA204" s="227"/>
      <c r="AB204" s="227"/>
      <c r="AC204" s="227"/>
      <c r="AD204" s="228">
        <v>49266.25</v>
      </c>
      <c r="AE204" s="228">
        <v>34128.9</v>
      </c>
      <c r="AF204" s="227"/>
      <c r="AG204" s="227"/>
      <c r="AH204" s="227"/>
      <c r="AI204" s="227"/>
      <c r="AJ204" s="229"/>
    </row>
    <row r="205" spans="2:48" x14ac:dyDescent="0.25">
      <c r="B205" s="54"/>
      <c r="C205" s="54"/>
      <c r="D205" s="54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266" t="s">
        <v>524</v>
      </c>
      <c r="W205" s="267"/>
      <c r="X205" s="1"/>
      <c r="Y205" s="1"/>
      <c r="Z205" s="1"/>
      <c r="AA205" s="1"/>
      <c r="AB205" s="1"/>
      <c r="AC205" s="1"/>
      <c r="AD205" s="224">
        <f>+AD200+AD201+AD204</f>
        <v>684800.875</v>
      </c>
      <c r="AE205" s="225">
        <f>+AE200+AE201+AE204</f>
        <v>656963.9</v>
      </c>
      <c r="AF205" s="224">
        <f>+AD205-AE205</f>
        <v>27836.974999999977</v>
      </c>
      <c r="AG205" s="1"/>
      <c r="AH205" s="1"/>
      <c r="AI205" s="1"/>
      <c r="AJ205" s="225">
        <f>SUM(AJ197:AJ203)</f>
        <v>18000000</v>
      </c>
    </row>
    <row r="206" spans="2:48" x14ac:dyDescent="0.25">
      <c r="B206" s="54"/>
      <c r="C206" s="54"/>
      <c r="D206" s="54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</row>
    <row r="207" spans="2:48" x14ac:dyDescent="0.25">
      <c r="B207" s="54"/>
      <c r="C207" s="54"/>
      <c r="D207" s="54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</row>
    <row r="208" spans="2:48" x14ac:dyDescent="0.25">
      <c r="B208" s="54"/>
      <c r="C208" s="54"/>
      <c r="D208" s="54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AK208" s="3"/>
    </row>
    <row r="209" spans="2:40" x14ac:dyDescent="0.25">
      <c r="B209" s="54"/>
      <c r="C209" s="54"/>
      <c r="D209" s="54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AN209">
        <v>4</v>
      </c>
    </row>
    <row r="210" spans="2:40" x14ac:dyDescent="0.25">
      <c r="B210" s="54"/>
      <c r="C210" s="54"/>
      <c r="D210" s="54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AK210" s="50"/>
    </row>
    <row r="211" spans="2:40" ht="45" x14ac:dyDescent="0.25">
      <c r="B211" s="54"/>
      <c r="C211" s="54"/>
      <c r="D211" s="54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268" t="s">
        <v>604</v>
      </c>
      <c r="W211" s="269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3" t="s">
        <v>607</v>
      </c>
      <c r="AK211" s="233" t="s">
        <v>608</v>
      </c>
      <c r="AL211" s="233" t="s">
        <v>611</v>
      </c>
      <c r="AM211" s="233" t="s">
        <v>614</v>
      </c>
      <c r="AN211" s="233" t="s">
        <v>612</v>
      </c>
    </row>
    <row r="212" spans="2:40" x14ac:dyDescent="0.25">
      <c r="B212" s="54"/>
      <c r="C212" s="54"/>
      <c r="D212" s="54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1" t="s">
        <v>88</v>
      </c>
      <c r="W212" s="1" t="s">
        <v>89</v>
      </c>
      <c r="AJ212" s="223">
        <f>+'[6]Proyeccion Nomina DIGEPRES'!$M$6</f>
        <v>3614533.33</v>
      </c>
      <c r="AK212" s="223">
        <v>2598750</v>
      </c>
      <c r="AL212" s="223">
        <f>+AK9</f>
        <v>12361664.490000002</v>
      </c>
      <c r="AM212" s="223">
        <f>+AK212*$AN$209</f>
        <v>10395000</v>
      </c>
      <c r="AN212" s="221">
        <f>+AL212-AM212</f>
        <v>1966664.4900000021</v>
      </c>
    </row>
    <row r="213" spans="2:40" x14ac:dyDescent="0.25">
      <c r="B213" s="54"/>
      <c r="C213" s="54"/>
      <c r="D213" s="54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V213" s="1" t="s">
        <v>96</v>
      </c>
      <c r="W213" s="1" t="s">
        <v>400</v>
      </c>
      <c r="AJ213" s="223">
        <v>120000</v>
      </c>
      <c r="AK213" s="223">
        <v>120000</v>
      </c>
      <c r="AL213" s="223">
        <v>1020000</v>
      </c>
      <c r="AM213" s="223">
        <f t="shared" ref="AM213:AM217" si="232">+AK213*$AN$209</f>
        <v>480000</v>
      </c>
      <c r="AN213" s="221">
        <f t="shared" ref="AN213:AN217" si="233">+AL213-AM213</f>
        <v>540000</v>
      </c>
    </row>
    <row r="214" spans="2:40" x14ac:dyDescent="0.25">
      <c r="B214" s="54"/>
      <c r="C214" s="54"/>
      <c r="D214" s="54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V214" s="1" t="s">
        <v>98</v>
      </c>
      <c r="W214" s="1" t="s">
        <v>569</v>
      </c>
      <c r="AJ214" s="223">
        <v>2198500</v>
      </c>
      <c r="AK214" s="223">
        <f>2093000+450000</f>
        <v>2543000</v>
      </c>
      <c r="AL214" s="223">
        <f>+AK25</f>
        <v>6276167.1700000018</v>
      </c>
      <c r="AM214" s="223">
        <f>+AK214*$AN$209</f>
        <v>10172000</v>
      </c>
      <c r="AN214" s="221">
        <f>+AL214-AM214</f>
        <v>-3895832.8299999982</v>
      </c>
    </row>
    <row r="215" spans="2:40" x14ac:dyDescent="0.25">
      <c r="B215" s="54"/>
      <c r="C215" s="54"/>
      <c r="D215" s="54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V215" s="1" t="s">
        <v>527</v>
      </c>
      <c r="W215" s="1" t="s">
        <v>528</v>
      </c>
      <c r="AJ215" s="223">
        <v>320000</v>
      </c>
      <c r="AK215" s="223">
        <v>320000</v>
      </c>
      <c r="AL215" s="223">
        <f>+AK29</f>
        <v>657000</v>
      </c>
      <c r="AM215" s="223">
        <f t="shared" si="232"/>
        <v>1280000</v>
      </c>
      <c r="AN215" s="221">
        <f t="shared" si="233"/>
        <v>-623000</v>
      </c>
    </row>
    <row r="216" spans="2:40" x14ac:dyDescent="0.25">
      <c r="B216" s="54"/>
      <c r="C216" s="54"/>
      <c r="D216" s="54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V216" s="1" t="s">
        <v>539</v>
      </c>
      <c r="W216" s="1" t="s">
        <v>570</v>
      </c>
      <c r="AJ216" s="223">
        <v>107500</v>
      </c>
      <c r="AK216" s="223">
        <v>107500</v>
      </c>
      <c r="AL216" s="223">
        <f>+AK31</f>
        <v>242500</v>
      </c>
      <c r="AM216" s="223">
        <f t="shared" si="232"/>
        <v>430000</v>
      </c>
      <c r="AN216" s="221">
        <f t="shared" si="233"/>
        <v>-187500</v>
      </c>
    </row>
    <row r="217" spans="2:40" x14ac:dyDescent="0.25">
      <c r="B217" s="54"/>
      <c r="C217" s="54"/>
      <c r="D217" s="54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V217" s="1" t="s">
        <v>114</v>
      </c>
      <c r="W217" s="1" t="s">
        <v>402</v>
      </c>
      <c r="AJ217" s="223">
        <v>666000</v>
      </c>
      <c r="AK217" s="223">
        <v>393000</v>
      </c>
      <c r="AL217" s="223">
        <f>+AK33</f>
        <v>3003200</v>
      </c>
      <c r="AM217" s="223">
        <f t="shared" si="232"/>
        <v>1572000</v>
      </c>
      <c r="AN217" s="221">
        <f t="shared" si="233"/>
        <v>1431200</v>
      </c>
    </row>
    <row r="218" spans="2:40" x14ac:dyDescent="0.25">
      <c r="B218" s="54"/>
      <c r="C218" s="54"/>
      <c r="D218" s="54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AL218"/>
    </row>
    <row r="219" spans="2:40" x14ac:dyDescent="0.25">
      <c r="B219" s="54"/>
      <c r="C219" s="54"/>
      <c r="D219" s="54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W219" s="231" t="s">
        <v>613</v>
      </c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0"/>
      <c r="AH219" s="230"/>
      <c r="AI219" s="230"/>
      <c r="AJ219" s="224">
        <f>SUM(AJ212:AJ217)</f>
        <v>7026533.3300000001</v>
      </c>
      <c r="AK219" s="224">
        <f t="shared" ref="AK219:AN219" si="234">SUM(AK212:AK217)</f>
        <v>6082250</v>
      </c>
      <c r="AL219" s="224">
        <f t="shared" si="234"/>
        <v>23560531.660000004</v>
      </c>
      <c r="AM219" s="224">
        <f t="shared" si="234"/>
        <v>24329000</v>
      </c>
      <c r="AN219" s="224">
        <f t="shared" si="234"/>
        <v>-768468.33999999613</v>
      </c>
    </row>
    <row r="220" spans="2:40" x14ac:dyDescent="0.25">
      <c r="B220" s="54"/>
      <c r="C220" s="54"/>
      <c r="D220" s="54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</row>
    <row r="221" spans="2:40" x14ac:dyDescent="0.25">
      <c r="B221" s="54"/>
      <c r="C221" s="54"/>
      <c r="D221" s="54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</row>
    <row r="222" spans="2:40" x14ac:dyDescent="0.25">
      <c r="B222" s="54"/>
      <c r="C222" s="54"/>
      <c r="D222" s="54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</row>
    <row r="223" spans="2:40" x14ac:dyDescent="0.25">
      <c r="B223" s="54"/>
      <c r="C223" s="54"/>
      <c r="D223" s="54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</row>
    <row r="224" spans="2:40" x14ac:dyDescent="0.25">
      <c r="B224" s="54"/>
      <c r="C224" s="54"/>
      <c r="D224" s="54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t="s">
        <v>609</v>
      </c>
      <c r="W224" t="s">
        <v>610</v>
      </c>
      <c r="X224">
        <v>3638446.03</v>
      </c>
      <c r="AJ224" s="3">
        <v>3638446.03</v>
      </c>
    </row>
    <row r="225" spans="2:21" x14ac:dyDescent="0.25">
      <c r="B225" s="54"/>
      <c r="C225" s="54"/>
      <c r="D225" s="54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</row>
    <row r="226" spans="2:21" x14ac:dyDescent="0.25">
      <c r="B226" s="54"/>
      <c r="C226" s="54"/>
      <c r="D226" s="54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</row>
    <row r="227" spans="2:21" x14ac:dyDescent="0.25">
      <c r="B227" s="54"/>
      <c r="C227" s="54"/>
      <c r="D227" s="54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</row>
    <row r="228" spans="2:21" x14ac:dyDescent="0.25">
      <c r="B228" s="54"/>
      <c r="C228" s="54"/>
      <c r="D228" s="54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</row>
    <row r="229" spans="2:21" x14ac:dyDescent="0.25">
      <c r="B229" s="54"/>
      <c r="C229" s="54"/>
      <c r="D229" s="54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</row>
    <row r="230" spans="2:21" x14ac:dyDescent="0.25">
      <c r="B230" s="54"/>
      <c r="C230" s="54"/>
      <c r="D230" s="54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</row>
    <row r="231" spans="2:21" x14ac:dyDescent="0.25">
      <c r="B231" s="54"/>
      <c r="C231" s="54"/>
      <c r="D231" s="54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</row>
    <row r="232" spans="2:21" x14ac:dyDescent="0.25">
      <c r="B232" s="54"/>
      <c r="C232" s="54"/>
      <c r="D232" s="54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</row>
    <row r="233" spans="2:21" x14ac:dyDescent="0.25">
      <c r="B233" s="54"/>
      <c r="C233" s="54"/>
      <c r="D233" s="54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</row>
    <row r="234" spans="2:21" x14ac:dyDescent="0.25">
      <c r="B234" s="54"/>
      <c r="C234" s="54"/>
      <c r="D234" s="54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</row>
    <row r="235" spans="2:21" x14ac:dyDescent="0.25">
      <c r="B235" s="54"/>
      <c r="C235" s="54"/>
      <c r="D235" s="54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</row>
    <row r="236" spans="2:21" x14ac:dyDescent="0.25">
      <c r="B236" s="54"/>
      <c r="C236" s="54"/>
      <c r="D236" s="54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</row>
    <row r="237" spans="2:21" x14ac:dyDescent="0.25">
      <c r="B237" s="54"/>
      <c r="C237" s="54"/>
      <c r="D237" s="54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</row>
    <row r="238" spans="2:21" x14ac:dyDescent="0.25">
      <c r="B238" s="54"/>
      <c r="C238" s="54"/>
      <c r="D238" s="54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</row>
    <row r="239" spans="2:21" x14ac:dyDescent="0.25">
      <c r="B239" s="54"/>
      <c r="C239" s="54"/>
      <c r="D239" s="54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</row>
    <row r="240" spans="2:21" x14ac:dyDescent="0.25">
      <c r="B240" s="54"/>
      <c r="C240" s="54"/>
      <c r="D240" s="54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</row>
    <row r="241" spans="2:21" x14ac:dyDescent="0.25">
      <c r="B241" s="54"/>
      <c r="C241" s="54"/>
      <c r="D241" s="54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</row>
    <row r="242" spans="2:21" x14ac:dyDescent="0.25">
      <c r="B242" s="54"/>
      <c r="C242" s="54"/>
      <c r="D242" s="54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</row>
    <row r="243" spans="2:21" x14ac:dyDescent="0.25">
      <c r="B243" s="54"/>
      <c r="C243" s="54"/>
      <c r="D243" s="54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</row>
    <row r="244" spans="2:21" x14ac:dyDescent="0.25">
      <c r="B244" s="54"/>
      <c r="C244" s="54"/>
      <c r="D244" s="54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</row>
    <row r="245" spans="2:21" x14ac:dyDescent="0.25">
      <c r="B245" s="54"/>
      <c r="C245" s="54"/>
      <c r="D245" s="54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</row>
    <row r="246" spans="2:21" x14ac:dyDescent="0.25">
      <c r="B246" s="54"/>
      <c r="C246" s="54"/>
      <c r="D246" s="54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</row>
    <row r="247" spans="2:21" x14ac:dyDescent="0.25">
      <c r="B247" s="54"/>
      <c r="C247" s="54"/>
      <c r="D247" s="54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</row>
    <row r="248" spans="2:21" x14ac:dyDescent="0.25">
      <c r="B248" s="54"/>
      <c r="C248" s="54"/>
      <c r="D248" s="54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</row>
    <row r="249" spans="2:21" x14ac:dyDescent="0.25">
      <c r="B249" s="54"/>
      <c r="C249" s="54"/>
      <c r="D249" s="54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</row>
    <row r="250" spans="2:21" x14ac:dyDescent="0.25">
      <c r="B250" s="54"/>
      <c r="C250" s="54"/>
      <c r="D250" s="54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</row>
    <row r="251" spans="2:21" x14ac:dyDescent="0.25">
      <c r="B251" s="54"/>
      <c r="C251" s="54"/>
      <c r="D251" s="54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</row>
    <row r="252" spans="2:21" x14ac:dyDescent="0.25">
      <c r="B252" s="54"/>
      <c r="C252" s="54"/>
      <c r="D252" s="54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</row>
    <row r="253" spans="2:21" x14ac:dyDescent="0.25">
      <c r="B253" s="54"/>
      <c r="C253" s="54"/>
      <c r="D253" s="54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</row>
    <row r="254" spans="2:21" x14ac:dyDescent="0.25">
      <c r="B254" s="54"/>
      <c r="C254" s="54"/>
      <c r="D254" s="54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</row>
    <row r="255" spans="2:21" x14ac:dyDescent="0.25">
      <c r="B255" s="54"/>
      <c r="C255" s="54"/>
      <c r="D255" s="54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</row>
    <row r="256" spans="2:21" x14ac:dyDescent="0.25">
      <c r="B256" s="54"/>
      <c r="C256" s="54"/>
      <c r="D256" s="54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</row>
    <row r="257" spans="2:21" x14ac:dyDescent="0.25">
      <c r="B257" s="54"/>
      <c r="C257" s="54"/>
      <c r="D257" s="54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</row>
    <row r="258" spans="2:21" x14ac:dyDescent="0.25">
      <c r="B258" s="54"/>
      <c r="C258" s="54"/>
      <c r="D258" s="54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</row>
    <row r="259" spans="2:21" x14ac:dyDescent="0.25">
      <c r="B259" s="54"/>
      <c r="C259" s="54"/>
      <c r="D259" s="54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</row>
    <row r="260" spans="2:21" x14ac:dyDescent="0.25">
      <c r="B260" s="54"/>
      <c r="C260" s="54"/>
      <c r="D260" s="54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</row>
    <row r="261" spans="2:21" x14ac:dyDescent="0.25">
      <c r="B261" s="54"/>
      <c r="C261" s="54"/>
      <c r="D261" s="54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</row>
    <row r="262" spans="2:21" x14ac:dyDescent="0.25">
      <c r="B262" s="54"/>
      <c r="C262" s="54"/>
      <c r="D262" s="54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</row>
    <row r="263" spans="2:21" x14ac:dyDescent="0.25">
      <c r="B263" s="54"/>
      <c r="C263" s="54"/>
      <c r="D263" s="54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</row>
    <row r="264" spans="2:21" x14ac:dyDescent="0.25">
      <c r="B264" s="54"/>
      <c r="C264" s="54"/>
      <c r="D264" s="54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</row>
    <row r="265" spans="2:21" x14ac:dyDescent="0.25">
      <c r="B265" s="54"/>
      <c r="C265" s="54"/>
      <c r="D265" s="54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</row>
    <row r="266" spans="2:21" x14ac:dyDescent="0.25">
      <c r="B266" s="54"/>
      <c r="C266" s="54"/>
      <c r="D266" s="54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</row>
    <row r="267" spans="2:21" x14ac:dyDescent="0.25">
      <c r="B267" s="54"/>
      <c r="C267" s="54"/>
      <c r="D267" s="54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</row>
    <row r="268" spans="2:21" x14ac:dyDescent="0.25">
      <c r="B268" s="54"/>
      <c r="C268" s="54"/>
      <c r="D268" s="54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</row>
    <row r="269" spans="2:21" x14ac:dyDescent="0.25">
      <c r="B269" s="54"/>
      <c r="C269" s="54"/>
      <c r="D269" s="54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</row>
    <row r="270" spans="2:21" x14ac:dyDescent="0.25">
      <c r="B270" s="54"/>
      <c r="C270" s="54"/>
      <c r="D270" s="54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</row>
    <row r="271" spans="2:21" x14ac:dyDescent="0.25">
      <c r="B271" s="54"/>
      <c r="C271" s="54"/>
      <c r="D271" s="54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</row>
    <row r="272" spans="2:21" x14ac:dyDescent="0.25">
      <c r="B272" s="54"/>
      <c r="C272" s="54"/>
      <c r="D272" s="54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</row>
    <row r="273" spans="2:21" x14ac:dyDescent="0.25">
      <c r="B273" s="54"/>
      <c r="C273" s="54"/>
      <c r="D273" s="54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</row>
    <row r="274" spans="2:21" x14ac:dyDescent="0.25">
      <c r="B274" s="54"/>
      <c r="C274" s="54"/>
      <c r="D274" s="54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</row>
    <row r="275" spans="2:21" x14ac:dyDescent="0.25">
      <c r="B275" s="54"/>
      <c r="C275" s="54"/>
      <c r="D275" s="54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</row>
    <row r="276" spans="2:21" x14ac:dyDescent="0.25">
      <c r="B276" s="54"/>
      <c r="C276" s="54"/>
      <c r="D276" s="54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</row>
    <row r="277" spans="2:21" x14ac:dyDescent="0.25">
      <c r="B277" s="54"/>
      <c r="C277" s="54"/>
      <c r="D277" s="54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</row>
    <row r="278" spans="2:21" x14ac:dyDescent="0.25">
      <c r="B278" s="54"/>
      <c r="C278" s="54"/>
      <c r="D278" s="54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</row>
    <row r="279" spans="2:21" x14ac:dyDescent="0.25">
      <c r="B279" s="54"/>
      <c r="C279" s="54"/>
      <c r="D279" s="54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</row>
    <row r="280" spans="2:21" x14ac:dyDescent="0.25">
      <c r="B280" s="54"/>
      <c r="C280" s="54"/>
      <c r="D280" s="54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</row>
    <row r="281" spans="2:21" x14ac:dyDescent="0.25">
      <c r="B281" s="54"/>
      <c r="C281" s="54"/>
      <c r="D281" s="54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2:21" x14ac:dyDescent="0.25">
      <c r="B282" s="54"/>
      <c r="C282" s="54"/>
      <c r="D282" s="54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2:21" x14ac:dyDescent="0.25">
      <c r="B283" s="54"/>
      <c r="C283" s="54"/>
      <c r="D283" s="54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2:21" x14ac:dyDescent="0.25">
      <c r="B284" s="54"/>
      <c r="C284" s="54"/>
      <c r="D284" s="54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</row>
    <row r="285" spans="2:21" x14ac:dyDescent="0.25">
      <c r="B285" s="54"/>
      <c r="C285" s="54"/>
      <c r="D285" s="54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</row>
    <row r="286" spans="2:21" x14ac:dyDescent="0.25">
      <c r="B286" s="54"/>
      <c r="C286" s="54"/>
      <c r="D286" s="54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</row>
    <row r="287" spans="2:21" x14ac:dyDescent="0.25">
      <c r="B287" s="54"/>
      <c r="C287" s="54"/>
      <c r="D287" s="54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</row>
    <row r="288" spans="2:21" x14ac:dyDescent="0.25">
      <c r="B288" s="54"/>
      <c r="C288" s="54"/>
      <c r="D288" s="54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</row>
    <row r="289" spans="2:21" x14ac:dyDescent="0.25">
      <c r="B289" s="54"/>
      <c r="C289" s="54"/>
      <c r="D289" s="54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</row>
    <row r="290" spans="2:21" x14ac:dyDescent="0.25">
      <c r="B290" s="54"/>
      <c r="C290" s="54"/>
      <c r="D290" s="54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</row>
    <row r="291" spans="2:21" x14ac:dyDescent="0.25">
      <c r="B291" s="54"/>
      <c r="C291" s="54"/>
      <c r="D291" s="54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</row>
    <row r="292" spans="2:21" x14ac:dyDescent="0.25">
      <c r="B292" s="54"/>
      <c r="C292" s="54"/>
      <c r="D292" s="54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</row>
  </sheetData>
  <autoFilter ref="C8:U205"/>
  <mergeCells count="8">
    <mergeCell ref="V196:W196"/>
    <mergeCell ref="V205:W205"/>
    <mergeCell ref="V211:W211"/>
    <mergeCell ref="C4:Q4"/>
    <mergeCell ref="C5:Q5"/>
    <mergeCell ref="C6:Q6"/>
    <mergeCell ref="V6:AJ6"/>
    <mergeCell ref="R6:T6"/>
  </mergeCells>
  <pageMargins left="0.70866141732283505" right="0.70866141732283505" top="0.74803149606299202" bottom="0.74803149606299202" header="0.31496062992126" footer="0.31496062992126"/>
  <pageSetup scale="48" fitToHeight="4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49"/>
  <sheetViews>
    <sheetView showGridLines="0" workbookViewId="0">
      <pane xSplit="2" ySplit="11" topLeftCell="O27" activePane="bottomRight" state="frozen"/>
      <selection pane="topRight" activeCell="C1" sqref="C1"/>
      <selection pane="bottomLeft" activeCell="A8" sqref="A8"/>
      <selection pane="bottomRight" activeCell="Q44" sqref="Q44"/>
    </sheetView>
  </sheetViews>
  <sheetFormatPr defaultColWidth="9.140625" defaultRowHeight="15" x14ac:dyDescent="0.25"/>
  <cols>
    <col min="1" max="1" width="10.140625" customWidth="1"/>
    <col min="2" max="2" width="71.42578125" bestFit="1" customWidth="1"/>
    <col min="3" max="3" width="19.7109375" hidden="1" customWidth="1"/>
    <col min="4" max="14" width="18.140625" hidden="1" customWidth="1"/>
    <col min="15" max="16" width="18.140625" customWidth="1"/>
    <col min="17" max="17" width="13.85546875" bestFit="1" customWidth="1"/>
  </cols>
  <sheetData>
    <row r="4" spans="1:17" ht="21" x14ac:dyDescent="0.35">
      <c r="A4" s="274" t="s">
        <v>640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7" ht="18.75" x14ac:dyDescent="0.3">
      <c r="A5" s="275" t="s">
        <v>641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1:17" ht="18.75" x14ac:dyDescent="0.3">
      <c r="A6" s="275" t="s">
        <v>642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</row>
    <row r="7" spans="1:17" ht="15.75" x14ac:dyDescent="0.25">
      <c r="A7" s="276" t="s">
        <v>643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</row>
    <row r="8" spans="1:17" ht="30" x14ac:dyDescent="0.25">
      <c r="A8" s="116"/>
      <c r="B8" s="117" t="s">
        <v>644</v>
      </c>
      <c r="C8" s="117" t="s">
        <v>0</v>
      </c>
      <c r="D8" s="117" t="s">
        <v>63</v>
      </c>
      <c r="E8" s="117" t="s">
        <v>73</v>
      </c>
      <c r="F8" s="117" t="s">
        <v>74</v>
      </c>
      <c r="G8" s="117" t="s">
        <v>75</v>
      </c>
      <c r="H8" s="117" t="s">
        <v>76</v>
      </c>
      <c r="I8" s="117" t="s">
        <v>77</v>
      </c>
      <c r="J8" s="117" t="s">
        <v>78</v>
      </c>
      <c r="K8" s="117" t="s">
        <v>79</v>
      </c>
      <c r="L8" s="117" t="s">
        <v>80</v>
      </c>
      <c r="M8" s="117" t="s">
        <v>81</v>
      </c>
      <c r="N8" s="117" t="s">
        <v>82</v>
      </c>
      <c r="O8" s="255" t="s">
        <v>635</v>
      </c>
      <c r="P8" s="255" t="s">
        <v>636</v>
      </c>
    </row>
    <row r="9" spans="1:17" x14ac:dyDescent="0.25">
      <c r="A9" s="257" t="s">
        <v>633</v>
      </c>
      <c r="B9" s="257" t="s">
        <v>634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9">
        <f>+O45</f>
        <v>207154333</v>
      </c>
      <c r="P9" s="259">
        <f>+P45</f>
        <v>389035099.88</v>
      </c>
    </row>
    <row r="10" spans="1:17" x14ac:dyDescent="0.25">
      <c r="A10" s="118">
        <v>2.1</v>
      </c>
      <c r="B10" s="119" t="s">
        <v>4</v>
      </c>
      <c r="C10" s="120">
        <f>SUM(C11:C15)</f>
        <v>7443316.583333333</v>
      </c>
      <c r="D10" s="120">
        <f t="shared" ref="D10:N10" si="0">SUM(D11:D15)</f>
        <v>6146816.583333333</v>
      </c>
      <c r="E10" s="120">
        <f t="shared" si="0"/>
        <v>8943316.583333334</v>
      </c>
      <c r="F10" s="120">
        <f t="shared" si="0"/>
        <v>7433316.583333333</v>
      </c>
      <c r="G10" s="120">
        <f t="shared" si="0"/>
        <v>7416816.583333333</v>
      </c>
      <c r="H10" s="120">
        <f t="shared" si="0"/>
        <v>13602816.583333334</v>
      </c>
      <c r="I10" s="120">
        <f t="shared" si="0"/>
        <v>7416816.583333333</v>
      </c>
      <c r="J10" s="120">
        <f t="shared" si="0"/>
        <v>7416816.583333333</v>
      </c>
      <c r="K10" s="120">
        <f t="shared" si="0"/>
        <v>7416816.583333333</v>
      </c>
      <c r="L10" s="120">
        <f t="shared" si="0"/>
        <v>7416816.583333333</v>
      </c>
      <c r="M10" s="120">
        <f t="shared" si="0"/>
        <v>25974816.583333332</v>
      </c>
      <c r="N10" s="120">
        <f t="shared" si="0"/>
        <v>7416816.583333333</v>
      </c>
      <c r="O10" s="120">
        <f>SUM(C10:N10)</f>
        <v>114045298.99999999</v>
      </c>
      <c r="P10" s="120">
        <f>SUM(P11:P15)</f>
        <v>119072082.31</v>
      </c>
    </row>
    <row r="11" spans="1:17" x14ac:dyDescent="0.25">
      <c r="A11" s="1" t="s">
        <v>2</v>
      </c>
      <c r="B11" s="1" t="s">
        <v>5</v>
      </c>
      <c r="C11" s="2">
        <f>+'PRESUPUESTO SIGEF 2021'!E9+'PRESUPUESTO SIGEF 2021'!E13+'PRESUPUESTO SIGEF 2021'!E17+'PRESUPUESTO SIGEF 2021'!E35+'PRESUPUESTO SIGEF 2021'!E37+'PRESUPUESTO SIGEF 2021'!E42</f>
        <v>5912150</v>
      </c>
      <c r="D11" s="2">
        <f>+'PRESUPUESTO SIGEF 2021'!F9+'PRESUPUESTO SIGEF 2021'!F13+'PRESUPUESTO SIGEF 2021'!F17+'PRESUPUESTO SIGEF 2021'!F35+'PRESUPUESTO SIGEF 2021'!F37+'PRESUPUESTO SIGEF 2021'!F42</f>
        <v>4615650</v>
      </c>
      <c r="E11" s="2">
        <f>+'PRESUPUESTO SIGEF 2021'!G9+'PRESUPUESTO SIGEF 2021'!G13+'PRESUPUESTO SIGEF 2021'!G17+'PRESUPUESTO SIGEF 2021'!G35+'PRESUPUESTO SIGEF 2021'!G37+'PRESUPUESTO SIGEF 2021'!G42</f>
        <v>7412150</v>
      </c>
      <c r="F11" s="2">
        <f>+'PRESUPUESTO SIGEF 2021'!H9+'PRESUPUESTO SIGEF 2021'!H13+'PRESUPUESTO SIGEF 2021'!H17+'PRESUPUESTO SIGEF 2021'!H35+'PRESUPUESTO SIGEF 2021'!H37+'PRESUPUESTO SIGEF 2021'!H42</f>
        <v>5912150</v>
      </c>
      <c r="G11" s="2">
        <f>+'PRESUPUESTO SIGEF 2021'!I9+'PRESUPUESTO SIGEF 2021'!I13+'PRESUPUESTO SIGEF 2021'!I17+'PRESUPUESTO SIGEF 2021'!I35+'PRESUPUESTO SIGEF 2021'!I37+'PRESUPUESTO SIGEF 2021'!I42</f>
        <v>5895650</v>
      </c>
      <c r="H11" s="2">
        <f>+'PRESUPUESTO SIGEF 2021'!J9+'PRESUPUESTO SIGEF 2021'!J13+'PRESUPUESTO SIGEF 2021'!J17+'PRESUPUESTO SIGEF 2021'!J35+'PRESUPUESTO SIGEF 2021'!J37+'PRESUPUESTO SIGEF 2021'!J42</f>
        <v>5895650</v>
      </c>
      <c r="I11" s="2">
        <f>+'PRESUPUESTO SIGEF 2021'!K9+'PRESUPUESTO SIGEF 2021'!K13+'PRESUPUESTO SIGEF 2021'!K17+'PRESUPUESTO SIGEF 2021'!K35+'PRESUPUESTO SIGEF 2021'!K37+'PRESUPUESTO SIGEF 2021'!K42</f>
        <v>5895650</v>
      </c>
      <c r="J11" s="2">
        <f>+'PRESUPUESTO SIGEF 2021'!L9+'PRESUPUESTO SIGEF 2021'!L13+'PRESUPUESTO SIGEF 2021'!L17+'PRESUPUESTO SIGEF 2021'!L35+'PRESUPUESTO SIGEF 2021'!L37+'PRESUPUESTO SIGEF 2021'!L42</f>
        <v>5895650</v>
      </c>
      <c r="K11" s="2">
        <f>+'PRESUPUESTO SIGEF 2021'!M9+'PRESUPUESTO SIGEF 2021'!M13+'PRESUPUESTO SIGEF 2021'!M17+'PRESUPUESTO SIGEF 2021'!M35+'PRESUPUESTO SIGEF 2021'!M37+'PRESUPUESTO SIGEF 2021'!M42</f>
        <v>5895650</v>
      </c>
      <c r="L11" s="2">
        <f>+'PRESUPUESTO SIGEF 2021'!N9+'PRESUPUESTO SIGEF 2021'!N13+'PRESUPUESTO SIGEF 2021'!N17+'PRESUPUESTO SIGEF 2021'!N35+'PRESUPUESTO SIGEF 2021'!N37+'PRESUPUESTO SIGEF 2021'!N42</f>
        <v>5895650</v>
      </c>
      <c r="M11" s="2">
        <f>+'PRESUPUESTO SIGEF 2021'!O9+'PRESUPUESTO SIGEF 2021'!O13+'PRESUPUESTO SIGEF 2021'!O17+'PRESUPUESTO SIGEF 2021'!O35+'PRESUPUESTO SIGEF 2021'!O37+'PRESUPUESTO SIGEF 2021'!O42</f>
        <v>12081650</v>
      </c>
      <c r="N11" s="2">
        <f>+'PRESUPUESTO SIGEF 2021'!P9+'PRESUPUESTO SIGEF 2021'!P13+'PRESUPUESTO SIGEF 2021'!P17+'PRESUPUESTO SIGEF 2021'!P35+'PRESUPUESTO SIGEF 2021'!P37+'PRESUPUESTO SIGEF 2021'!P42</f>
        <v>5895650</v>
      </c>
      <c r="O11" s="2">
        <f t="shared" ref="O11:O44" si="1">SUM(C11:N11)</f>
        <v>77203300</v>
      </c>
      <c r="P11" s="2">
        <v>77857257.180000007</v>
      </c>
      <c r="Q11" s="51"/>
    </row>
    <row r="12" spans="1:17" x14ac:dyDescent="0.25">
      <c r="A12" s="1" t="s">
        <v>6</v>
      </c>
      <c r="B12" s="1" t="s">
        <v>7</v>
      </c>
      <c r="C12" s="2">
        <f>+'PRESUPUESTO SIGEF 2021'!E33+'PRESUPUESTO SIGEF 2021'!E45+'PRESUPUESTO SIGEF 2021'!E43+'PRESUPUESTO SIGEF 2021'!E49</f>
        <v>595000</v>
      </c>
      <c r="D12" s="2">
        <f>+'PRESUPUESTO SIGEF 2021'!F33+'PRESUPUESTO SIGEF 2021'!F45+'PRESUPUESTO SIGEF 2021'!F43+'PRESUPUESTO SIGEF 2021'!F49</f>
        <v>595000</v>
      </c>
      <c r="E12" s="2">
        <f>+'PRESUPUESTO SIGEF 2021'!G33+'PRESUPUESTO SIGEF 2021'!G45+'PRESUPUESTO SIGEF 2021'!G43+'PRESUPUESTO SIGEF 2021'!G49</f>
        <v>595000</v>
      </c>
      <c r="F12" s="2">
        <f>+'PRESUPUESTO SIGEF 2021'!H33+'PRESUPUESTO SIGEF 2021'!H45+'PRESUPUESTO SIGEF 2021'!H43+'PRESUPUESTO SIGEF 2021'!H49</f>
        <v>595000</v>
      </c>
      <c r="G12" s="2">
        <f>+'PRESUPUESTO SIGEF 2021'!I33+'PRESUPUESTO SIGEF 2021'!I45+'PRESUPUESTO SIGEF 2021'!I43+'PRESUPUESTO SIGEF 2021'!I49</f>
        <v>595000</v>
      </c>
      <c r="H12" s="2">
        <f>+'PRESUPUESTO SIGEF 2021'!J33+'PRESUPUESTO SIGEF 2021'!J45+'PRESUPUESTO SIGEF 2021'!J43+'PRESUPUESTO SIGEF 2021'!J49</f>
        <v>6781000</v>
      </c>
      <c r="I12" s="2">
        <f>+'PRESUPUESTO SIGEF 2021'!K33+'PRESUPUESTO SIGEF 2021'!K45+'PRESUPUESTO SIGEF 2021'!K43+'PRESUPUESTO SIGEF 2021'!K49</f>
        <v>595000</v>
      </c>
      <c r="J12" s="2">
        <f>+'PRESUPUESTO SIGEF 2021'!L33+'PRESUPUESTO SIGEF 2021'!L45+'PRESUPUESTO SIGEF 2021'!L43+'PRESUPUESTO SIGEF 2021'!L49</f>
        <v>595000</v>
      </c>
      <c r="K12" s="2">
        <f>+'PRESUPUESTO SIGEF 2021'!M33+'PRESUPUESTO SIGEF 2021'!M45+'PRESUPUESTO SIGEF 2021'!M43+'PRESUPUESTO SIGEF 2021'!M49</f>
        <v>595000</v>
      </c>
      <c r="L12" s="2">
        <f>+'PRESUPUESTO SIGEF 2021'!N33+'PRESUPUESTO SIGEF 2021'!N45+'PRESUPUESTO SIGEF 2021'!N43+'PRESUPUESTO SIGEF 2021'!N49</f>
        <v>595000</v>
      </c>
      <c r="M12" s="2">
        <f>+'PRESUPUESTO SIGEF 2021'!O33+'PRESUPUESTO SIGEF 2021'!O45+'PRESUPUESTO SIGEF 2021'!O43+'PRESUPUESTO SIGEF 2021'!O49</f>
        <v>12967000</v>
      </c>
      <c r="N12" s="2">
        <f>+'PRESUPUESTO SIGEF 2021'!P33+'PRESUPUESTO SIGEF 2021'!P45+'PRESUPUESTO SIGEF 2021'!P43+'PRESUPUESTO SIGEF 2021'!P49</f>
        <v>595000</v>
      </c>
      <c r="O12" s="2">
        <f t="shared" si="1"/>
        <v>25698000</v>
      </c>
      <c r="P12" s="2">
        <v>31763976.390000001</v>
      </c>
      <c r="Q12" s="51"/>
    </row>
    <row r="13" spans="1:17" x14ac:dyDescent="0.25">
      <c r="A13" s="1" t="s">
        <v>8</v>
      </c>
      <c r="B13" s="1" t="s">
        <v>9</v>
      </c>
      <c r="C13" s="2">
        <f>+'PRESUPUESTO SIGEF 2021'!E53</f>
        <v>40500</v>
      </c>
      <c r="D13" s="2">
        <f>+'PRESUPUESTO SIGEF 2021'!F53</f>
        <v>40500</v>
      </c>
      <c r="E13" s="2">
        <f>+'PRESUPUESTO SIGEF 2021'!G53</f>
        <v>40500</v>
      </c>
      <c r="F13" s="2">
        <f>+'PRESUPUESTO SIGEF 2021'!H53</f>
        <v>40500</v>
      </c>
      <c r="G13" s="2">
        <f>+'PRESUPUESTO SIGEF 2021'!I53</f>
        <v>40500</v>
      </c>
      <c r="H13" s="2">
        <f>+'PRESUPUESTO SIGEF 2021'!J53</f>
        <v>40500</v>
      </c>
      <c r="I13" s="2">
        <f>+'PRESUPUESTO SIGEF 2021'!K53</f>
        <v>40500</v>
      </c>
      <c r="J13" s="2">
        <f>+'PRESUPUESTO SIGEF 2021'!L53</f>
        <v>40500</v>
      </c>
      <c r="K13" s="2">
        <f>+'PRESUPUESTO SIGEF 2021'!M53</f>
        <v>40500</v>
      </c>
      <c r="L13" s="2">
        <f>+'PRESUPUESTO SIGEF 2021'!N53</f>
        <v>40500</v>
      </c>
      <c r="M13" s="2">
        <f>+'PRESUPUESTO SIGEF 2021'!O53</f>
        <v>40500</v>
      </c>
      <c r="N13" s="2">
        <f>+'PRESUPUESTO SIGEF 2021'!P53</f>
        <v>40500</v>
      </c>
      <c r="O13" s="2">
        <f t="shared" si="1"/>
        <v>486000</v>
      </c>
      <c r="P13" s="2">
        <v>86000</v>
      </c>
      <c r="Q13" s="51"/>
    </row>
    <row r="14" spans="1:17" x14ac:dyDescent="0.25">
      <c r="A14" s="1" t="s">
        <v>10</v>
      </c>
      <c r="B14" s="1" t="s">
        <v>11</v>
      </c>
      <c r="C14" s="2">
        <f>+'PRESUPUESTO SIGEF 2021'!E54</f>
        <v>10000</v>
      </c>
      <c r="D14" s="2">
        <f>+'PRESUPUESTO SIGEF 2021'!F54</f>
        <v>10000</v>
      </c>
      <c r="E14" s="2">
        <f>+'PRESUPUESTO SIGEF 2021'!G54</f>
        <v>10000</v>
      </c>
      <c r="F14" s="2">
        <f>+'PRESUPUESTO SIGEF 2021'!H54</f>
        <v>0</v>
      </c>
      <c r="G14" s="2">
        <f>+'PRESUPUESTO SIGEF 2021'!I54</f>
        <v>0</v>
      </c>
      <c r="H14" s="2">
        <f>+'PRESUPUESTO SIGEF 2021'!J54</f>
        <v>0</v>
      </c>
      <c r="I14" s="2">
        <f>+'PRESUPUESTO SIGEF 2021'!K54</f>
        <v>0</v>
      </c>
      <c r="J14" s="2">
        <f>+'PRESUPUESTO SIGEF 2021'!L54</f>
        <v>0</v>
      </c>
      <c r="K14" s="2">
        <f>+'PRESUPUESTO SIGEF 2021'!M54</f>
        <v>0</v>
      </c>
      <c r="L14" s="2">
        <f>+'PRESUPUESTO SIGEF 2021'!N54</f>
        <v>0</v>
      </c>
      <c r="M14" s="2">
        <f>+'PRESUPUESTO SIGEF 2021'!O54</f>
        <v>0</v>
      </c>
      <c r="N14" s="2">
        <f>+'PRESUPUESTO SIGEF 2021'!P54</f>
        <v>0</v>
      </c>
      <c r="O14" s="2">
        <f t="shared" si="1"/>
        <v>30000</v>
      </c>
      <c r="P14" s="2">
        <f>+'PRESUPUESTO SIGEF 2021'!U54</f>
        <v>30000</v>
      </c>
      <c r="Q14" s="51"/>
    </row>
    <row r="15" spans="1:17" x14ac:dyDescent="0.25">
      <c r="A15" s="1" t="s">
        <v>12</v>
      </c>
      <c r="B15" s="1" t="s">
        <v>13</v>
      </c>
      <c r="C15" s="2">
        <f>+'PRESUPUESTO SIGEF 2021'!E55+'PRESUPUESTO SIGEF 2021'!E59+'PRESUPUESTO SIGEF 2021'!E63</f>
        <v>885666.58333333337</v>
      </c>
      <c r="D15" s="2">
        <f>+'PRESUPUESTO SIGEF 2021'!F55+'PRESUPUESTO SIGEF 2021'!F59+'PRESUPUESTO SIGEF 2021'!F63</f>
        <v>885666.58333333337</v>
      </c>
      <c r="E15" s="2">
        <f>+'PRESUPUESTO SIGEF 2021'!G55+'PRESUPUESTO SIGEF 2021'!G59+'PRESUPUESTO SIGEF 2021'!G63</f>
        <v>885666.58333333337</v>
      </c>
      <c r="F15" s="2">
        <f>+'PRESUPUESTO SIGEF 2021'!H55+'PRESUPUESTO SIGEF 2021'!H59+'PRESUPUESTO SIGEF 2021'!H63</f>
        <v>885666.58333333337</v>
      </c>
      <c r="G15" s="2">
        <f>+'PRESUPUESTO SIGEF 2021'!I55+'PRESUPUESTO SIGEF 2021'!I59+'PRESUPUESTO SIGEF 2021'!I63</f>
        <v>885666.58333333337</v>
      </c>
      <c r="H15" s="2">
        <f>+'PRESUPUESTO SIGEF 2021'!J55+'PRESUPUESTO SIGEF 2021'!J59+'PRESUPUESTO SIGEF 2021'!J63</f>
        <v>885666.58333333337</v>
      </c>
      <c r="I15" s="2">
        <f>+'PRESUPUESTO SIGEF 2021'!K55+'PRESUPUESTO SIGEF 2021'!K59+'PRESUPUESTO SIGEF 2021'!K63</f>
        <v>885666.58333333337</v>
      </c>
      <c r="J15" s="2">
        <f>+'PRESUPUESTO SIGEF 2021'!L55+'PRESUPUESTO SIGEF 2021'!L59+'PRESUPUESTO SIGEF 2021'!L63</f>
        <v>885666.58333333337</v>
      </c>
      <c r="K15" s="2">
        <f>+'PRESUPUESTO SIGEF 2021'!M55+'PRESUPUESTO SIGEF 2021'!M59+'PRESUPUESTO SIGEF 2021'!M63</f>
        <v>885666.58333333337</v>
      </c>
      <c r="L15" s="2">
        <f>+'PRESUPUESTO SIGEF 2021'!N55+'PRESUPUESTO SIGEF 2021'!N59+'PRESUPUESTO SIGEF 2021'!N63</f>
        <v>885666.58333333337</v>
      </c>
      <c r="M15" s="2">
        <f>+'PRESUPUESTO SIGEF 2021'!O55+'PRESUPUESTO SIGEF 2021'!O59+'PRESUPUESTO SIGEF 2021'!O63</f>
        <v>885666.58333333337</v>
      </c>
      <c r="N15" s="2">
        <f>+'PRESUPUESTO SIGEF 2021'!P55+'PRESUPUESTO SIGEF 2021'!P59+'PRESUPUESTO SIGEF 2021'!P63</f>
        <v>885666.58333333337</v>
      </c>
      <c r="O15" s="2">
        <f t="shared" si="1"/>
        <v>10627999</v>
      </c>
      <c r="P15" s="2">
        <v>9334848.7400000002</v>
      </c>
      <c r="Q15" s="51"/>
    </row>
    <row r="16" spans="1:17" x14ac:dyDescent="0.25">
      <c r="A16" s="118">
        <v>2.2000000000000002</v>
      </c>
      <c r="B16" s="119" t="s">
        <v>14</v>
      </c>
      <c r="C16" s="120">
        <f>SUM(C17:C25)</f>
        <v>881383.33333333326</v>
      </c>
      <c r="D16" s="120">
        <f t="shared" ref="D16:N16" si="2">SUM(D17:D25)</f>
        <v>8098154.333333333</v>
      </c>
      <c r="E16" s="120">
        <f t="shared" si="2"/>
        <v>1383383.3333333333</v>
      </c>
      <c r="F16" s="120">
        <f t="shared" si="2"/>
        <v>2131253.333333333</v>
      </c>
      <c r="G16" s="120">
        <f t="shared" si="2"/>
        <v>5728383.333333334</v>
      </c>
      <c r="H16" s="120">
        <f t="shared" si="2"/>
        <v>3483383.3333333335</v>
      </c>
      <c r="I16" s="120">
        <f t="shared" si="2"/>
        <v>928383.33333333326</v>
      </c>
      <c r="J16" s="120">
        <f t="shared" si="2"/>
        <v>7340623.333333334</v>
      </c>
      <c r="K16" s="120">
        <f t="shared" si="2"/>
        <v>883383.33333333326</v>
      </c>
      <c r="L16" s="120">
        <f t="shared" si="2"/>
        <v>3044383.333333333</v>
      </c>
      <c r="M16" s="120">
        <f t="shared" si="2"/>
        <v>4407503.333333334</v>
      </c>
      <c r="N16" s="120">
        <f t="shared" si="2"/>
        <v>881383.33333333326</v>
      </c>
      <c r="O16" s="120">
        <f t="shared" si="1"/>
        <v>39191601</v>
      </c>
      <c r="P16" s="120">
        <f>SUM(P17:P25)</f>
        <v>59963996.250000007</v>
      </c>
    </row>
    <row r="17" spans="1:16" x14ac:dyDescent="0.25">
      <c r="A17" s="1" t="s">
        <v>15</v>
      </c>
      <c r="B17" s="1" t="s">
        <v>16</v>
      </c>
      <c r="C17" s="2">
        <f>+'PRESUPUESTO SIGEF 2021'!E67+'PRESUPUESTO SIGEF 2021'!E68+'PRESUPUESTO SIGEF 2021'!E69+'PRESUPUESTO SIGEF 2021'!E70+'PRESUPUESTO SIGEF 2021'!E71+'PRESUPUESTO SIGEF 2021'!E72</f>
        <v>598050</v>
      </c>
      <c r="D17" s="2">
        <f>+'PRESUPUESTO SIGEF 2021'!F67+'PRESUPUESTO SIGEF 2021'!F68+'PRESUPUESTO SIGEF 2021'!F69+'PRESUPUESTO SIGEF 2021'!F70+'PRESUPUESTO SIGEF 2021'!F71+'PRESUPUESTO SIGEF 2021'!F72</f>
        <v>598050</v>
      </c>
      <c r="E17" s="2">
        <f>+'PRESUPUESTO SIGEF 2021'!G67+'PRESUPUESTO SIGEF 2021'!G68+'PRESUPUESTO SIGEF 2021'!G69+'PRESUPUESTO SIGEF 2021'!G70+'PRESUPUESTO SIGEF 2021'!G71+'PRESUPUESTO SIGEF 2021'!G72</f>
        <v>598050</v>
      </c>
      <c r="F17" s="2">
        <f>+'PRESUPUESTO SIGEF 2021'!H67+'PRESUPUESTO SIGEF 2021'!H68+'PRESUPUESTO SIGEF 2021'!H69+'PRESUPUESTO SIGEF 2021'!H70+'PRESUPUESTO SIGEF 2021'!H71+'PRESUPUESTO SIGEF 2021'!H72</f>
        <v>598050</v>
      </c>
      <c r="G17" s="2">
        <f>+'PRESUPUESTO SIGEF 2021'!I67+'PRESUPUESTO SIGEF 2021'!I68+'PRESUPUESTO SIGEF 2021'!I69+'PRESUPUESTO SIGEF 2021'!I70+'PRESUPUESTO SIGEF 2021'!I71+'PRESUPUESTO SIGEF 2021'!I72</f>
        <v>598050</v>
      </c>
      <c r="H17" s="2">
        <f>+'PRESUPUESTO SIGEF 2021'!J67+'PRESUPUESTO SIGEF 2021'!J68+'PRESUPUESTO SIGEF 2021'!J69+'PRESUPUESTO SIGEF 2021'!J70+'PRESUPUESTO SIGEF 2021'!J71+'PRESUPUESTO SIGEF 2021'!J72</f>
        <v>598050</v>
      </c>
      <c r="I17" s="2">
        <f>+'PRESUPUESTO SIGEF 2021'!K67+'PRESUPUESTO SIGEF 2021'!K68+'PRESUPUESTO SIGEF 2021'!K69+'PRESUPUESTO SIGEF 2021'!K70+'PRESUPUESTO SIGEF 2021'!K71+'PRESUPUESTO SIGEF 2021'!K72</f>
        <v>598050</v>
      </c>
      <c r="J17" s="2">
        <f>+'PRESUPUESTO SIGEF 2021'!L67+'PRESUPUESTO SIGEF 2021'!L68+'PRESUPUESTO SIGEF 2021'!L69+'PRESUPUESTO SIGEF 2021'!L70+'PRESUPUESTO SIGEF 2021'!L71+'PRESUPUESTO SIGEF 2021'!L72</f>
        <v>598050</v>
      </c>
      <c r="K17" s="2">
        <f>+'PRESUPUESTO SIGEF 2021'!M67+'PRESUPUESTO SIGEF 2021'!M68+'PRESUPUESTO SIGEF 2021'!M69+'PRESUPUESTO SIGEF 2021'!M70+'PRESUPUESTO SIGEF 2021'!M71+'PRESUPUESTO SIGEF 2021'!M72</f>
        <v>598050</v>
      </c>
      <c r="L17" s="2">
        <f>+'PRESUPUESTO SIGEF 2021'!N67+'PRESUPUESTO SIGEF 2021'!N68+'PRESUPUESTO SIGEF 2021'!N69+'PRESUPUESTO SIGEF 2021'!N70+'PRESUPUESTO SIGEF 2021'!N71+'PRESUPUESTO SIGEF 2021'!N72</f>
        <v>598050</v>
      </c>
      <c r="M17" s="2">
        <f>+'PRESUPUESTO SIGEF 2021'!O67+'PRESUPUESTO SIGEF 2021'!O68+'PRESUPUESTO SIGEF 2021'!O69+'PRESUPUESTO SIGEF 2021'!O70+'PRESUPUESTO SIGEF 2021'!O71+'PRESUPUESTO SIGEF 2021'!O72</f>
        <v>598050</v>
      </c>
      <c r="N17" s="2">
        <f>+'PRESUPUESTO SIGEF 2021'!P67+'PRESUPUESTO SIGEF 2021'!P68+'PRESUPUESTO SIGEF 2021'!P69+'PRESUPUESTO SIGEF 2021'!P70+'PRESUPUESTO SIGEF 2021'!P71+'PRESUPUESTO SIGEF 2021'!P72</f>
        <v>598050</v>
      </c>
      <c r="O17" s="2">
        <f t="shared" si="1"/>
        <v>7176600</v>
      </c>
      <c r="P17" s="2">
        <f>+'PRESUPUESTO SIGEF 2021'!U67+'PRESUPUESTO SIGEF 2021'!U68+'PRESUPUESTO SIGEF 2021'!U69+'PRESUPUESTO SIGEF 2021'!U70+'PRESUPUESTO SIGEF 2021'!U71+'PRESUPUESTO SIGEF 2021'!U72</f>
        <v>7176600</v>
      </c>
    </row>
    <row r="18" spans="1:16" x14ac:dyDescent="0.25">
      <c r="A18" s="1" t="s">
        <v>17</v>
      </c>
      <c r="B18" s="1" t="s">
        <v>18</v>
      </c>
      <c r="C18" s="2">
        <f>+'PRESUPUESTO SIGEF 2021'!E73+'PRESUPUESTO SIGEF 2021'!E76</f>
        <v>0</v>
      </c>
      <c r="D18" s="2">
        <f>+'PRESUPUESTO SIGEF 2021'!F73+'PRESUPUESTO SIGEF 2021'!F76</f>
        <v>2276801</v>
      </c>
      <c r="E18" s="2">
        <f>+'PRESUPUESTO SIGEF 2021'!G73+'PRESUPUESTO SIGEF 2021'!G76</f>
        <v>0</v>
      </c>
      <c r="F18" s="2">
        <f>+'PRESUPUESTO SIGEF 2021'!H73+'PRESUPUESTO SIGEF 2021'!H76</f>
        <v>250000</v>
      </c>
      <c r="G18" s="2">
        <f>+'PRESUPUESTO SIGEF 2021'!I73+'PRESUPUESTO SIGEF 2021'!I76</f>
        <v>149600</v>
      </c>
      <c r="H18" s="2">
        <f>+'PRESUPUESTO SIGEF 2021'!J73+'PRESUPUESTO SIGEF 2021'!J76</f>
        <v>1600000</v>
      </c>
      <c r="I18" s="2">
        <f>+'PRESUPUESTO SIGEF 2021'!K73+'PRESUPUESTO SIGEF 2021'!K76</f>
        <v>0</v>
      </c>
      <c r="J18" s="2">
        <f>+'PRESUPUESTO SIGEF 2021'!L73+'PRESUPUESTO SIGEF 2021'!L76</f>
        <v>900000</v>
      </c>
      <c r="K18" s="2">
        <f>+'PRESUPUESTO SIGEF 2021'!M73+'PRESUPUESTO SIGEF 2021'!M76</f>
        <v>0</v>
      </c>
      <c r="L18" s="2">
        <f>+'PRESUPUESTO SIGEF 2021'!N73+'PRESUPUESTO SIGEF 2021'!N76</f>
        <v>0</v>
      </c>
      <c r="M18" s="2">
        <f>+'PRESUPUESTO SIGEF 2021'!O73+'PRESUPUESTO SIGEF 2021'!O76</f>
        <v>372000</v>
      </c>
      <c r="N18" s="2">
        <f>+'PRESUPUESTO SIGEF 2021'!P73+'PRESUPUESTO SIGEF 2021'!P76</f>
        <v>0</v>
      </c>
      <c r="O18" s="2">
        <f t="shared" si="1"/>
        <v>5548401</v>
      </c>
      <c r="P18" s="2">
        <v>1816346.34</v>
      </c>
    </row>
    <row r="19" spans="1:16" x14ac:dyDescent="0.25">
      <c r="A19" s="1" t="s">
        <v>19</v>
      </c>
      <c r="B19" s="1" t="s">
        <v>20</v>
      </c>
      <c r="C19" s="2">
        <f>+'PRESUPUESTO SIGEF 2021'!E80+'PRESUPUESTO SIGEF 2021'!E83</f>
        <v>0</v>
      </c>
      <c r="D19" s="2">
        <f>+'PRESUPUESTO SIGEF 2021'!F80+'PRESUPUESTO SIGEF 2021'!F83</f>
        <v>860800</v>
      </c>
      <c r="E19" s="2">
        <f>+'PRESUPUESTO SIGEF 2021'!G80+'PRESUPUESTO SIGEF 2021'!G83</f>
        <v>0</v>
      </c>
      <c r="F19" s="2">
        <f>+'PRESUPUESTO SIGEF 2021'!H80+'PRESUPUESTO SIGEF 2021'!H83</f>
        <v>0</v>
      </c>
      <c r="G19" s="2">
        <f>+'PRESUPUESTO SIGEF 2021'!I80+'PRESUPUESTO SIGEF 2021'!I83</f>
        <v>950400</v>
      </c>
      <c r="H19" s="2">
        <f>+'PRESUPUESTO SIGEF 2021'!J80+'PRESUPUESTO SIGEF 2021'!J83</f>
        <v>0</v>
      </c>
      <c r="I19" s="2">
        <f>+'PRESUPUESTO SIGEF 2021'!K80+'PRESUPUESTO SIGEF 2021'!K83</f>
        <v>0</v>
      </c>
      <c r="J19" s="2">
        <f>+'PRESUPUESTO SIGEF 2021'!L80+'PRESUPUESTO SIGEF 2021'!L83</f>
        <v>702400</v>
      </c>
      <c r="K19" s="2">
        <f>+'PRESUPUESTO SIGEF 2021'!M80+'PRESUPUESTO SIGEF 2021'!M83</f>
        <v>0</v>
      </c>
      <c r="L19" s="2">
        <f>+'PRESUPUESTO SIGEF 2021'!N80+'PRESUPUESTO SIGEF 2021'!N83</f>
        <v>0</v>
      </c>
      <c r="M19" s="2">
        <f>+'PRESUPUESTO SIGEF 2021'!O80+'PRESUPUESTO SIGEF 2021'!O83</f>
        <v>315200</v>
      </c>
      <c r="N19" s="2">
        <f>+'PRESUPUESTO SIGEF 2021'!P80+'PRESUPUESTO SIGEF 2021'!P83</f>
        <v>0</v>
      </c>
      <c r="O19" s="2">
        <f t="shared" si="1"/>
        <v>2828800</v>
      </c>
      <c r="P19" s="2">
        <v>939800</v>
      </c>
    </row>
    <row r="20" spans="1:16" x14ac:dyDescent="0.25">
      <c r="A20" s="1" t="s">
        <v>21</v>
      </c>
      <c r="B20" s="1" t="s">
        <v>22</v>
      </c>
      <c r="C20" s="2">
        <f>+'PRESUPUESTO SIGEF 2021'!E85+'PRESUPUESTO SIGEF 2021'!E88</f>
        <v>0</v>
      </c>
      <c r="D20" s="2">
        <f>+'PRESUPUESTO SIGEF 2021'!F85+'PRESUPUESTO SIGEF 2021'!F88</f>
        <v>1642000</v>
      </c>
      <c r="E20" s="2">
        <f>+'PRESUPUESTO SIGEF 2021'!G85+'PRESUPUESTO SIGEF 2021'!G88</f>
        <v>2000</v>
      </c>
      <c r="F20" s="2">
        <f>+'PRESUPUESTO SIGEF 2021'!H85+'PRESUPUESTO SIGEF 2021'!H88</f>
        <v>2000</v>
      </c>
      <c r="G20" s="2">
        <f>+'PRESUPUESTO SIGEF 2021'!I85+'PRESUPUESTO SIGEF 2021'!I88</f>
        <v>957000</v>
      </c>
      <c r="H20" s="2">
        <f>+'PRESUPUESTO SIGEF 2021'!J85+'PRESUPUESTO SIGEF 2021'!J88</f>
        <v>2000</v>
      </c>
      <c r="I20" s="2">
        <f>+'PRESUPUESTO SIGEF 2021'!K85+'PRESUPUESTO SIGEF 2021'!K88</f>
        <v>2000</v>
      </c>
      <c r="J20" s="2">
        <f>+'PRESUPUESTO SIGEF 2021'!L85+'PRESUPUESTO SIGEF 2021'!L88</f>
        <v>1087000</v>
      </c>
      <c r="K20" s="2">
        <f>+'PRESUPUESTO SIGEF 2021'!M85+'PRESUPUESTO SIGEF 2021'!M88</f>
        <v>2000</v>
      </c>
      <c r="L20" s="2">
        <f>+'PRESUPUESTO SIGEF 2021'!N85+'PRESUPUESTO SIGEF 2021'!N88</f>
        <v>2000</v>
      </c>
      <c r="M20" s="2">
        <f>+'PRESUPUESTO SIGEF 2021'!O85+'PRESUPUESTO SIGEF 2021'!O88</f>
        <v>1082000</v>
      </c>
      <c r="N20" s="2">
        <f>+'PRESUPUESTO SIGEF 2021'!P85+'PRESUPUESTO SIGEF 2021'!P88</f>
        <v>0</v>
      </c>
      <c r="O20" s="2">
        <f t="shared" si="1"/>
        <v>4780000</v>
      </c>
      <c r="P20" s="2">
        <v>1221500</v>
      </c>
    </row>
    <row r="21" spans="1:16" x14ac:dyDescent="0.25">
      <c r="A21" s="1" t="s">
        <v>23</v>
      </c>
      <c r="B21" s="1" t="s">
        <v>24</v>
      </c>
      <c r="C21" s="2">
        <f>+'PRESUPUESTO SIGEF 2021'!E84+'PRESUPUESTO SIGEF 2021'!E90</f>
        <v>0</v>
      </c>
      <c r="D21" s="2">
        <f>+'PRESUPUESTO SIGEF 2021'!F84+'PRESUPUESTO SIGEF 2021'!F90</f>
        <v>0</v>
      </c>
      <c r="E21" s="2">
        <f>+'PRESUPUESTO SIGEF 2021'!G84+'PRESUPUESTO SIGEF 2021'!G90</f>
        <v>25000</v>
      </c>
      <c r="F21" s="2">
        <f>+'PRESUPUESTO SIGEF 2021'!H84+'PRESUPUESTO SIGEF 2021'!H90</f>
        <v>503870</v>
      </c>
      <c r="G21" s="2">
        <f>+'PRESUPUESTO SIGEF 2021'!I84+'PRESUPUESTO SIGEF 2021'!I90</f>
        <v>325000</v>
      </c>
      <c r="H21" s="2">
        <f>+'PRESUPUESTO SIGEF 2021'!J84+'PRESUPUESTO SIGEF 2021'!J90</f>
        <v>0</v>
      </c>
      <c r="I21" s="2">
        <f>+'PRESUPUESTO SIGEF 2021'!K84+'PRESUPUESTO SIGEF 2021'!K90</f>
        <v>0</v>
      </c>
      <c r="J21" s="2">
        <f>+'PRESUPUESTO SIGEF 2021'!L84+'PRESUPUESTO SIGEF 2021'!L90</f>
        <v>565000</v>
      </c>
      <c r="K21" s="2">
        <f>+'PRESUPUESTO SIGEF 2021'!M84+'PRESUPUESTO SIGEF 2021'!M90</f>
        <v>0</v>
      </c>
      <c r="L21" s="2">
        <f>+'PRESUPUESTO SIGEF 2021'!N84+'PRESUPUESTO SIGEF 2021'!N90</f>
        <v>0</v>
      </c>
      <c r="M21" s="2">
        <f>+'PRESUPUESTO SIGEF 2021'!O84+'PRESUPUESTO SIGEF 2021'!O90</f>
        <v>300000</v>
      </c>
      <c r="N21" s="2">
        <f>+'PRESUPUESTO SIGEF 2021'!P84+'PRESUPUESTO SIGEF 2021'!P90</f>
        <v>0</v>
      </c>
      <c r="O21" s="2">
        <f t="shared" si="1"/>
        <v>1718870</v>
      </c>
      <c r="P21" s="2">
        <v>11445341.710000001</v>
      </c>
    </row>
    <row r="22" spans="1:16" x14ac:dyDescent="0.25">
      <c r="A22" s="1" t="s">
        <v>25</v>
      </c>
      <c r="B22" s="1" t="s">
        <v>26</v>
      </c>
      <c r="C22" s="2">
        <f>+'PRESUPUESTO SIGEF 2021'!E94+'PRESUPUESTO SIGEF 2021'!E95+'PRESUPUESTO SIGEF 2021'!E96</f>
        <v>283333.33333333331</v>
      </c>
      <c r="D22" s="2">
        <f>+'PRESUPUESTO SIGEF 2021'!F94+'PRESUPUESTO SIGEF 2021'!F95+'PRESUPUESTO SIGEF 2021'!F96</f>
        <v>283333.33333333331</v>
      </c>
      <c r="E22" s="2">
        <f>+'PRESUPUESTO SIGEF 2021'!G94+'PRESUPUESTO SIGEF 2021'!G95+'PRESUPUESTO SIGEF 2021'!G96</f>
        <v>283333.33333333331</v>
      </c>
      <c r="F22" s="2">
        <f>+'PRESUPUESTO SIGEF 2021'!H94+'PRESUPUESTO SIGEF 2021'!H95+'PRESUPUESTO SIGEF 2021'!H96</f>
        <v>777333.33333333326</v>
      </c>
      <c r="G22" s="2">
        <f>+'PRESUPUESTO SIGEF 2021'!I94+'PRESUPUESTO SIGEF 2021'!I95+'PRESUPUESTO SIGEF 2021'!I96</f>
        <v>283333.33333333331</v>
      </c>
      <c r="H22" s="2">
        <f>+'PRESUPUESTO SIGEF 2021'!J94+'PRESUPUESTO SIGEF 2021'!J95+'PRESUPUESTO SIGEF 2021'!J96</f>
        <v>283333.33333333331</v>
      </c>
      <c r="I22" s="2">
        <f>+'PRESUPUESTO SIGEF 2021'!K94+'PRESUPUESTO SIGEF 2021'!K95+'PRESUPUESTO SIGEF 2021'!K96</f>
        <v>283333.33333333331</v>
      </c>
      <c r="J22" s="2">
        <f>+'PRESUPUESTO SIGEF 2021'!L94+'PRESUPUESTO SIGEF 2021'!L95+'PRESUPUESTO SIGEF 2021'!L96</f>
        <v>283333.33333333331</v>
      </c>
      <c r="K22" s="2">
        <f>+'PRESUPUESTO SIGEF 2021'!M94+'PRESUPUESTO SIGEF 2021'!M95+'PRESUPUESTO SIGEF 2021'!M96</f>
        <v>283333.33333333331</v>
      </c>
      <c r="L22" s="2">
        <f>+'PRESUPUESTO SIGEF 2021'!N94+'PRESUPUESTO SIGEF 2021'!N95+'PRESUPUESTO SIGEF 2021'!N96</f>
        <v>283333.33333333331</v>
      </c>
      <c r="M22" s="2">
        <f>+'PRESUPUESTO SIGEF 2021'!O94+'PRESUPUESTO SIGEF 2021'!O95+'PRESUPUESTO SIGEF 2021'!O96</f>
        <v>283333.33333333331</v>
      </c>
      <c r="N22" s="2">
        <f>+'PRESUPUESTO SIGEF 2021'!P94+'PRESUPUESTO SIGEF 2021'!P95+'PRESUPUESTO SIGEF 2021'!P96</f>
        <v>283333.33333333331</v>
      </c>
      <c r="O22" s="2">
        <f t="shared" si="1"/>
        <v>3894000.0000000009</v>
      </c>
      <c r="P22" s="2">
        <f>+'PRESUPUESTO SIGEF 2021'!U96+'PRESUPUESTO SIGEF 2021'!U95+'PRESUPUESTO SIGEF 2021'!U94</f>
        <v>3894000</v>
      </c>
    </row>
    <row r="23" spans="1:16" x14ac:dyDescent="0.25">
      <c r="A23" s="1" t="s">
        <v>27</v>
      </c>
      <c r="B23" s="1" t="s">
        <v>28</v>
      </c>
      <c r="C23" s="2">
        <f>+'PRESUPUESTO SIGEF 2021'!E97+'PRESUPUESTO SIGEF 2021'!E99+'PRESUPUESTO SIGEF 2021'!E101</f>
        <v>0</v>
      </c>
      <c r="D23" s="2">
        <f>+'PRESUPUESTO SIGEF 2021'!F97+'PRESUPUESTO SIGEF 2021'!F99+'PRESUPUESTO SIGEF 2021'!F101</f>
        <v>98000</v>
      </c>
      <c r="E23" s="2">
        <f>+'PRESUPUESTO SIGEF 2021'!G97+'PRESUPUESTO SIGEF 2021'!G99+'PRESUPUESTO SIGEF 2021'!G101</f>
        <v>190000</v>
      </c>
      <c r="F23" s="2">
        <f>+'PRESUPUESTO SIGEF 2021'!H97+'PRESUPUESTO SIGEF 2021'!H99+'PRESUPUESTO SIGEF 2021'!H101</f>
        <v>0</v>
      </c>
      <c r="G23" s="2">
        <f>+'PRESUPUESTO SIGEF 2021'!I97+'PRESUPUESTO SIGEF 2021'!I99+'PRESUPUESTO SIGEF 2021'!I101</f>
        <v>0</v>
      </c>
      <c r="H23" s="2">
        <f>+'PRESUPUESTO SIGEF 2021'!J97+'PRESUPUESTO SIGEF 2021'!J99+'PRESUPUESTO SIGEF 2021'!J101</f>
        <v>0</v>
      </c>
      <c r="I23" s="2">
        <f>+'PRESUPUESTO SIGEF 2021'!K97+'PRESUPUESTO SIGEF 2021'!K99+'PRESUPUESTO SIGEF 2021'!K101</f>
        <v>45000</v>
      </c>
      <c r="J23" s="2">
        <f>+'PRESUPUESTO SIGEF 2021'!L97+'PRESUPUESTO SIGEF 2021'!L99+'PRESUPUESTO SIGEF 2021'!L101</f>
        <v>90000</v>
      </c>
      <c r="K23" s="2">
        <f>+'PRESUPUESTO SIGEF 2021'!M97+'PRESUPUESTO SIGEF 2021'!M99+'PRESUPUESTO SIGEF 2021'!M101</f>
        <v>0</v>
      </c>
      <c r="L23" s="2">
        <f>+'PRESUPUESTO SIGEF 2021'!N97+'PRESUPUESTO SIGEF 2021'!N99+'PRESUPUESTO SIGEF 2021'!N101</f>
        <v>0</v>
      </c>
      <c r="M23" s="2">
        <f>+'PRESUPUESTO SIGEF 2021'!O97+'PRESUPUESTO SIGEF 2021'!O99+'PRESUPUESTO SIGEF 2021'!O101</f>
        <v>0</v>
      </c>
      <c r="N23" s="2">
        <f>+'PRESUPUESTO SIGEF 2021'!P97+'PRESUPUESTO SIGEF 2021'!P99+'PRESUPUESTO SIGEF 2021'!P101</f>
        <v>0</v>
      </c>
      <c r="O23" s="2">
        <f t="shared" si="1"/>
        <v>423000</v>
      </c>
      <c r="P23" s="2">
        <v>1308369.83</v>
      </c>
    </row>
    <row r="24" spans="1:16" x14ac:dyDescent="0.25">
      <c r="A24" s="1" t="s">
        <v>29</v>
      </c>
      <c r="B24" s="1" t="s">
        <v>30</v>
      </c>
      <c r="C24" s="2">
        <f>+'PRESUPUESTO SIGEF 2021'!E106+'PRESUPUESTO SIGEF 2021'!E109+'PRESUPUESTO SIGEF 2021'!E110+'PRESUPUESTO SIGEF 2021'!E113</f>
        <v>0</v>
      </c>
      <c r="D24" s="2">
        <f>+'PRESUPUESTO SIGEF 2021'!F106+'PRESUPUESTO SIGEF 2021'!F109+'PRESUPUESTO SIGEF 2021'!F110+'PRESUPUESTO SIGEF 2021'!F113</f>
        <v>1864170</v>
      </c>
      <c r="E24" s="2">
        <f>+'PRESUPUESTO SIGEF 2021'!G106+'PRESUPUESTO SIGEF 2021'!G109+'PRESUPUESTO SIGEF 2021'!G110+'PRESUPUESTO SIGEF 2021'!G113</f>
        <v>285000</v>
      </c>
      <c r="F24" s="2">
        <f>+'PRESUPUESTO SIGEF 2021'!H106+'PRESUPUESTO SIGEF 2021'!H109+'PRESUPUESTO SIGEF 2021'!H110+'PRESUPUESTO SIGEF 2021'!H113</f>
        <v>0</v>
      </c>
      <c r="G24" s="2">
        <f>+'PRESUPUESTO SIGEF 2021'!I106+'PRESUPUESTO SIGEF 2021'!I109+'PRESUPUESTO SIGEF 2021'!I110+'PRESUPUESTO SIGEF 2021'!I113</f>
        <v>2065000</v>
      </c>
      <c r="H24" s="2">
        <f>+'PRESUPUESTO SIGEF 2021'!J106+'PRESUPUESTO SIGEF 2021'!J109+'PRESUPUESTO SIGEF 2021'!J110+'PRESUPUESTO SIGEF 2021'!J113</f>
        <v>1000000</v>
      </c>
      <c r="I24" s="2">
        <f>+'PRESUPUESTO SIGEF 2021'!K106+'PRESUPUESTO SIGEF 2021'!K109+'PRESUPUESTO SIGEF 2021'!K110+'PRESUPUESTO SIGEF 2021'!K113</f>
        <v>0</v>
      </c>
      <c r="J24" s="2">
        <f>+'PRESUPUESTO SIGEF 2021'!L106+'PRESUPUESTO SIGEF 2021'!L109+'PRESUPUESTO SIGEF 2021'!L110+'PRESUPUESTO SIGEF 2021'!L113</f>
        <v>2870840</v>
      </c>
      <c r="K24" s="2">
        <f>+'PRESUPUESTO SIGEF 2021'!M106+'PRESUPUESTO SIGEF 2021'!M109+'PRESUPUESTO SIGEF 2021'!M110+'PRESUPUESTO SIGEF 2021'!M113</f>
        <v>0</v>
      </c>
      <c r="L24" s="2">
        <f>+'PRESUPUESTO SIGEF 2021'!N106+'PRESUPUESTO SIGEF 2021'!N109+'PRESUPUESTO SIGEF 2021'!N110+'PRESUPUESTO SIGEF 2021'!N113</f>
        <v>2161000</v>
      </c>
      <c r="M24" s="2">
        <f>+'PRESUPUESTO SIGEF 2021'!O106+'PRESUPUESTO SIGEF 2021'!O109+'PRESUPUESTO SIGEF 2021'!O110+'PRESUPUESTO SIGEF 2021'!O113</f>
        <v>1272920</v>
      </c>
      <c r="N24" s="2">
        <f>+'PRESUPUESTO SIGEF 2021'!P106+'PRESUPUESTO SIGEF 2021'!P109+'PRESUPUESTO SIGEF 2021'!P110+'PRESUPUESTO SIGEF 2021'!P113</f>
        <v>0</v>
      </c>
      <c r="O24" s="2">
        <f t="shared" si="1"/>
        <v>11518930</v>
      </c>
      <c r="P24" s="2">
        <v>29866518.27</v>
      </c>
    </row>
    <row r="25" spans="1:16" x14ac:dyDescent="0.25">
      <c r="A25" s="1" t="s">
        <v>31</v>
      </c>
      <c r="B25" s="1" t="s">
        <v>32</v>
      </c>
      <c r="C25" s="2">
        <f>+'PRESUPUESTO SIGEF 2021'!E116</f>
        <v>0</v>
      </c>
      <c r="D25" s="2">
        <f>+'PRESUPUESTO SIGEF 2021'!F116</f>
        <v>475000</v>
      </c>
      <c r="E25" s="2">
        <f>+'PRESUPUESTO SIGEF 2021'!G116</f>
        <v>0</v>
      </c>
      <c r="F25" s="2">
        <f>+'PRESUPUESTO SIGEF 2021'!H116</f>
        <v>0</v>
      </c>
      <c r="G25" s="2">
        <f>+'PRESUPUESTO SIGEF 2021'!I116</f>
        <v>400000</v>
      </c>
      <c r="H25" s="2">
        <f>+'PRESUPUESTO SIGEF 2021'!J116</f>
        <v>0</v>
      </c>
      <c r="I25" s="2">
        <f>+'PRESUPUESTO SIGEF 2021'!K116</f>
        <v>0</v>
      </c>
      <c r="J25" s="2">
        <f>+'PRESUPUESTO SIGEF 2021'!L116</f>
        <v>244000</v>
      </c>
      <c r="K25" s="2">
        <f>+'PRESUPUESTO SIGEF 2021'!M116</f>
        <v>0</v>
      </c>
      <c r="L25" s="2">
        <f>+'PRESUPUESTO SIGEF 2021'!N116</f>
        <v>0</v>
      </c>
      <c r="M25" s="2">
        <f>+'PRESUPUESTO SIGEF 2021'!O116</f>
        <v>184000</v>
      </c>
      <c r="N25" s="2">
        <f>+'PRESUPUESTO SIGEF 2021'!P116</f>
        <v>0</v>
      </c>
      <c r="O25" s="2">
        <f t="shared" si="1"/>
        <v>1303000</v>
      </c>
      <c r="P25" s="2">
        <v>2295520.1</v>
      </c>
    </row>
    <row r="26" spans="1:16" x14ac:dyDescent="0.25">
      <c r="A26" s="118">
        <v>2.2999999999999998</v>
      </c>
      <c r="B26" s="119" t="s">
        <v>33</v>
      </c>
      <c r="C26" s="120">
        <f>SUM(C27:C34)</f>
        <v>312000</v>
      </c>
      <c r="D26" s="120">
        <f t="shared" ref="D26:N26" si="3">SUM(D27:D34)</f>
        <v>5030165</v>
      </c>
      <c r="E26" s="120">
        <f t="shared" si="3"/>
        <v>592000</v>
      </c>
      <c r="F26" s="120">
        <f t="shared" si="3"/>
        <v>312000</v>
      </c>
      <c r="G26" s="120">
        <f t="shared" si="3"/>
        <v>4380549</v>
      </c>
      <c r="H26" s="120">
        <f t="shared" si="3"/>
        <v>1864000</v>
      </c>
      <c r="I26" s="120">
        <f t="shared" si="3"/>
        <v>312000</v>
      </c>
      <c r="J26" s="120">
        <f t="shared" si="3"/>
        <v>3778595</v>
      </c>
      <c r="K26" s="120">
        <f t="shared" si="3"/>
        <v>312000</v>
      </c>
      <c r="L26" s="120">
        <f t="shared" si="3"/>
        <v>2122000</v>
      </c>
      <c r="M26" s="120">
        <f t="shared" si="3"/>
        <v>1047124</v>
      </c>
      <c r="N26" s="120">
        <f t="shared" si="3"/>
        <v>312000</v>
      </c>
      <c r="O26" s="120">
        <f t="shared" si="1"/>
        <v>20374433</v>
      </c>
      <c r="P26" s="120">
        <f>SUM(P27:P34)</f>
        <v>33326046.68</v>
      </c>
    </row>
    <row r="27" spans="1:16" x14ac:dyDescent="0.25">
      <c r="A27" s="1" t="s">
        <v>34</v>
      </c>
      <c r="B27" s="1" t="s">
        <v>35</v>
      </c>
      <c r="C27" s="2">
        <f>+'PRESUPUESTO SIGEF 2021'!E119+'PRESUPUESTO SIGEF 2021'!E122</f>
        <v>0</v>
      </c>
      <c r="D27" s="2">
        <f>+'PRESUPUESTO SIGEF 2021'!F119+'PRESUPUESTO SIGEF 2021'!F122</f>
        <v>271250</v>
      </c>
      <c r="E27" s="2">
        <f>+'PRESUPUESTO SIGEF 2021'!G119+'PRESUPUESTO SIGEF 2021'!G122</f>
        <v>0</v>
      </c>
      <c r="F27" s="2">
        <f>+'PRESUPUESTO SIGEF 2021'!H119+'PRESUPUESTO SIGEF 2021'!H122</f>
        <v>0</v>
      </c>
      <c r="G27" s="2">
        <f>+'PRESUPUESTO SIGEF 2021'!I119+'PRESUPUESTO SIGEF 2021'!I122</f>
        <v>126250</v>
      </c>
      <c r="H27" s="2">
        <f>+'PRESUPUESTO SIGEF 2021'!J119+'PRESUPUESTO SIGEF 2021'!J122</f>
        <v>0</v>
      </c>
      <c r="I27" s="2">
        <f>+'PRESUPUESTO SIGEF 2021'!K119+'PRESUPUESTO SIGEF 2021'!K122</f>
        <v>0</v>
      </c>
      <c r="J27" s="2">
        <f>+'PRESUPUESTO SIGEF 2021'!L119+'PRESUPUESTO SIGEF 2021'!L122</f>
        <v>126250</v>
      </c>
      <c r="K27" s="2">
        <f>+'PRESUPUESTO SIGEF 2021'!M119+'PRESUPUESTO SIGEF 2021'!M122</f>
        <v>0</v>
      </c>
      <c r="L27" s="2">
        <f>+'PRESUPUESTO SIGEF 2021'!N119+'PRESUPUESTO SIGEF 2021'!N122</f>
        <v>0</v>
      </c>
      <c r="M27" s="2">
        <f>+'PRESUPUESTO SIGEF 2021'!O119+'PRESUPUESTO SIGEF 2021'!O122</f>
        <v>271250</v>
      </c>
      <c r="N27" s="2">
        <f>+'PRESUPUESTO SIGEF 2021'!P119+'PRESUPUESTO SIGEF 2021'!P122</f>
        <v>0</v>
      </c>
      <c r="O27" s="2">
        <f t="shared" si="1"/>
        <v>795000</v>
      </c>
      <c r="P27" s="2">
        <v>458658.85</v>
      </c>
    </row>
    <row r="28" spans="1:16" x14ac:dyDescent="0.25">
      <c r="A28" s="1" t="s">
        <v>36</v>
      </c>
      <c r="B28" s="1" t="s">
        <v>37</v>
      </c>
      <c r="C28" s="2">
        <f>+'PRESUPUESTO SIGEF 2021'!E124+'PRESUPUESTO SIGEF 2021'!E126+'PRESUPUESTO SIGEF 2021'!E128</f>
        <v>0</v>
      </c>
      <c r="D28" s="2">
        <f>+'PRESUPUESTO SIGEF 2021'!F124+'PRESUPUESTO SIGEF 2021'!F126+'PRESUPUESTO SIGEF 2021'!F128</f>
        <v>1050850</v>
      </c>
      <c r="E28" s="2">
        <f>+'PRESUPUESTO SIGEF 2021'!G124+'PRESUPUESTO SIGEF 2021'!G126+'PRESUPUESTO SIGEF 2021'!G128</f>
        <v>0</v>
      </c>
      <c r="F28" s="2">
        <f>+'PRESUPUESTO SIGEF 2021'!H124+'PRESUPUESTO SIGEF 2021'!H126+'PRESUPUESTO SIGEF 2021'!H128</f>
        <v>0</v>
      </c>
      <c r="G28" s="2">
        <f>+'PRESUPUESTO SIGEF 2021'!I124+'PRESUPUESTO SIGEF 2021'!I126+'PRESUPUESTO SIGEF 2021'!I128</f>
        <v>600000</v>
      </c>
      <c r="H28" s="2">
        <f>+'PRESUPUESTO SIGEF 2021'!J124+'PRESUPUESTO SIGEF 2021'!J126+'PRESUPUESTO SIGEF 2021'!J128</f>
        <v>90000</v>
      </c>
      <c r="I28" s="2">
        <f>+'PRESUPUESTO SIGEF 2021'!K124+'PRESUPUESTO SIGEF 2021'!K126+'PRESUPUESTO SIGEF 2021'!K128</f>
        <v>0</v>
      </c>
      <c r="J28" s="2">
        <f>+'PRESUPUESTO SIGEF 2021'!L124+'PRESUPUESTO SIGEF 2021'!L126+'PRESUPUESTO SIGEF 2021'!L128</f>
        <v>200000</v>
      </c>
      <c r="K28" s="2">
        <f>+'PRESUPUESTO SIGEF 2021'!M124+'PRESUPUESTO SIGEF 2021'!M126+'PRESUPUESTO SIGEF 2021'!M128</f>
        <v>0</v>
      </c>
      <c r="L28" s="2">
        <f>+'PRESUPUESTO SIGEF 2021'!N124+'PRESUPUESTO SIGEF 2021'!N126+'PRESUPUESTO SIGEF 2021'!N128</f>
        <v>0</v>
      </c>
      <c r="M28" s="2">
        <f>+'PRESUPUESTO SIGEF 2021'!O124+'PRESUPUESTO SIGEF 2021'!O126+'PRESUPUESTO SIGEF 2021'!O128</f>
        <v>300000</v>
      </c>
      <c r="N28" s="2">
        <f>+'PRESUPUESTO SIGEF 2021'!P124+'PRESUPUESTO SIGEF 2021'!P126+'PRESUPUESTO SIGEF 2021'!P128</f>
        <v>0</v>
      </c>
      <c r="O28" s="2">
        <f t="shared" si="1"/>
        <v>2240850</v>
      </c>
      <c r="P28" s="2">
        <v>1641793.3</v>
      </c>
    </row>
    <row r="29" spans="1:16" x14ac:dyDescent="0.25">
      <c r="A29" s="1" t="s">
        <v>38</v>
      </c>
      <c r="B29" s="1" t="s">
        <v>39</v>
      </c>
      <c r="C29" s="2">
        <f>+'PRESUPUESTO SIGEF 2021'!E129+'PRESUPUESTO SIGEF 2021'!E130+'PRESUPUESTO SIGEF 2021'!E133</f>
        <v>0</v>
      </c>
      <c r="D29" s="2">
        <f>+'PRESUPUESTO SIGEF 2021'!F129+'PRESUPUESTO SIGEF 2021'!F130+'PRESUPUESTO SIGEF 2021'!F133</f>
        <v>1070000</v>
      </c>
      <c r="E29" s="2">
        <f>+'PRESUPUESTO SIGEF 2021'!G129+'PRESUPUESTO SIGEF 2021'!G130+'PRESUPUESTO SIGEF 2021'!G133</f>
        <v>0</v>
      </c>
      <c r="F29" s="2">
        <f>+'PRESUPUESTO SIGEF 2021'!H129+'PRESUPUESTO SIGEF 2021'!H130+'PRESUPUESTO SIGEF 2021'!H133</f>
        <v>0</v>
      </c>
      <c r="G29" s="2">
        <f>+'PRESUPUESTO SIGEF 2021'!I129+'PRESUPUESTO SIGEF 2021'!I130+'PRESUPUESTO SIGEF 2021'!I133</f>
        <v>1325000</v>
      </c>
      <c r="H29" s="2">
        <f>+'PRESUPUESTO SIGEF 2021'!J129+'PRESUPUESTO SIGEF 2021'!J130+'PRESUPUESTO SIGEF 2021'!J133</f>
        <v>282000</v>
      </c>
      <c r="I29" s="2">
        <f>+'PRESUPUESTO SIGEF 2021'!K129+'PRESUPUESTO SIGEF 2021'!K130+'PRESUPUESTO SIGEF 2021'!K133</f>
        <v>0</v>
      </c>
      <c r="J29" s="2">
        <f>+'PRESUPUESTO SIGEF 2021'!L129+'PRESUPUESTO SIGEF 2021'!L130+'PRESUPUESTO SIGEF 2021'!L133</f>
        <v>778000</v>
      </c>
      <c r="K29" s="2">
        <f>+'PRESUPUESTO SIGEF 2021'!M129+'PRESUPUESTO SIGEF 2021'!M130+'PRESUPUESTO SIGEF 2021'!M133</f>
        <v>0</v>
      </c>
      <c r="L29" s="2">
        <f>+'PRESUPUESTO SIGEF 2021'!N129+'PRESUPUESTO SIGEF 2021'!N130+'PRESUPUESTO SIGEF 2021'!N133</f>
        <v>0</v>
      </c>
      <c r="M29" s="2">
        <f>+'PRESUPUESTO SIGEF 2021'!O129+'PRESUPUESTO SIGEF 2021'!O130+'PRESUPUESTO SIGEF 2021'!O133</f>
        <v>0</v>
      </c>
      <c r="N29" s="2">
        <f>+'PRESUPUESTO SIGEF 2021'!P129+'PRESUPUESTO SIGEF 2021'!P130+'PRESUPUESTO SIGEF 2021'!P133</f>
        <v>0</v>
      </c>
      <c r="O29" s="2">
        <f t="shared" si="1"/>
        <v>3455000</v>
      </c>
      <c r="P29" s="2">
        <f>+'PRESUPUESTO SIGEF 2021'!U129+'PRESUPUESTO SIGEF 2021'!U130+'PRESUPUESTO SIGEF 2021'!U133</f>
        <v>2036620.32</v>
      </c>
    </row>
    <row r="30" spans="1:16" x14ac:dyDescent="0.25">
      <c r="A30" s="1" t="s">
        <v>40</v>
      </c>
      <c r="B30" s="1" t="s">
        <v>41</v>
      </c>
      <c r="C30" s="2">
        <f>+'PRESUPUESTO SIGEF 2021'!E134</f>
        <v>0</v>
      </c>
      <c r="D30" s="2">
        <f>+'PRESUPUESTO SIGEF 2021'!F134</f>
        <v>30000</v>
      </c>
      <c r="E30" s="2">
        <f>+'PRESUPUESTO SIGEF 2021'!G134</f>
        <v>0</v>
      </c>
      <c r="F30" s="2">
        <f>+'PRESUPUESTO SIGEF 2021'!H134</f>
        <v>0</v>
      </c>
      <c r="G30" s="2">
        <f>+'PRESUPUESTO SIGEF 2021'!I134</f>
        <v>30000</v>
      </c>
      <c r="H30" s="2">
        <f>+'PRESUPUESTO SIGEF 2021'!J134</f>
        <v>0</v>
      </c>
      <c r="I30" s="2">
        <f>+'PRESUPUESTO SIGEF 2021'!K134</f>
        <v>0</v>
      </c>
      <c r="J30" s="2">
        <f>+'PRESUPUESTO SIGEF 2021'!L134</f>
        <v>30000</v>
      </c>
      <c r="K30" s="2">
        <f>+'PRESUPUESTO SIGEF 2021'!M134</f>
        <v>0</v>
      </c>
      <c r="L30" s="2">
        <f>+'PRESUPUESTO SIGEF 2021'!N134</f>
        <v>0</v>
      </c>
      <c r="M30" s="2">
        <f>+'PRESUPUESTO SIGEF 2021'!O134</f>
        <v>30000</v>
      </c>
      <c r="N30" s="2">
        <f>+'PRESUPUESTO SIGEF 2021'!P134</f>
        <v>0</v>
      </c>
      <c r="O30" s="2">
        <f t="shared" si="1"/>
        <v>120000</v>
      </c>
      <c r="P30" s="2">
        <f>+'PRESUPUESTO SIGEF 2021'!U134</f>
        <v>105000</v>
      </c>
    </row>
    <row r="31" spans="1:16" x14ac:dyDescent="0.25">
      <c r="A31" s="1" t="s">
        <v>42</v>
      </c>
      <c r="B31" s="1" t="s">
        <v>43</v>
      </c>
      <c r="C31" s="2">
        <f>+'PRESUPUESTO SIGEF 2021'!E136+'PRESUPUESTO SIGEF 2021'!E137+'PRESUPUESTO SIGEF 2021'!E138</f>
        <v>0</v>
      </c>
      <c r="D31" s="2">
        <f>+'PRESUPUESTO SIGEF 2021'!F136+'PRESUPUESTO SIGEF 2021'!F137+'PRESUPUESTO SIGEF 2021'!F138</f>
        <v>0</v>
      </c>
      <c r="E31" s="2">
        <f>+'PRESUPUESTO SIGEF 2021'!G136+'PRESUPUESTO SIGEF 2021'!G137+'PRESUPUESTO SIGEF 2021'!G138</f>
        <v>280000</v>
      </c>
      <c r="F31" s="2">
        <f>+'PRESUPUESTO SIGEF 2021'!H136+'PRESUPUESTO SIGEF 2021'!H137+'PRESUPUESTO SIGEF 2021'!H138</f>
        <v>0</v>
      </c>
      <c r="G31" s="2">
        <f>+'PRESUPUESTO SIGEF 2021'!I136+'PRESUPUESTO SIGEF 2021'!I137+'PRESUPUESTO SIGEF 2021'!I138</f>
        <v>0</v>
      </c>
      <c r="H31" s="2">
        <f>+'PRESUPUESTO SIGEF 2021'!J136+'PRESUPUESTO SIGEF 2021'!J137+'PRESUPUESTO SIGEF 2021'!J138</f>
        <v>80000</v>
      </c>
      <c r="I31" s="2">
        <f>+'PRESUPUESTO SIGEF 2021'!K136+'PRESUPUESTO SIGEF 2021'!K137+'PRESUPUESTO SIGEF 2021'!K138</f>
        <v>0</v>
      </c>
      <c r="J31" s="2">
        <f>+'PRESUPUESTO SIGEF 2021'!L136+'PRESUPUESTO SIGEF 2021'!L137+'PRESUPUESTO SIGEF 2021'!L138</f>
        <v>135000</v>
      </c>
      <c r="K31" s="2">
        <f>+'PRESUPUESTO SIGEF 2021'!M136+'PRESUPUESTO SIGEF 2021'!M137+'PRESUPUESTO SIGEF 2021'!M138</f>
        <v>0</v>
      </c>
      <c r="L31" s="2">
        <f>+'PRESUPUESTO SIGEF 2021'!N136+'PRESUPUESTO SIGEF 2021'!N137+'PRESUPUESTO SIGEF 2021'!N138</f>
        <v>0</v>
      </c>
      <c r="M31" s="2">
        <f>+'PRESUPUESTO SIGEF 2021'!O136+'PRESUPUESTO SIGEF 2021'!O137+'PRESUPUESTO SIGEF 2021'!O138</f>
        <v>0</v>
      </c>
      <c r="N31" s="2">
        <f>+'PRESUPUESTO SIGEF 2021'!P136+'PRESUPUESTO SIGEF 2021'!P137+'PRESUPUESTO SIGEF 2021'!P138</f>
        <v>0</v>
      </c>
      <c r="O31" s="2">
        <f t="shared" si="1"/>
        <v>495000</v>
      </c>
      <c r="P31" s="2">
        <f>+'PRESUPUESTO SIGEF 2021'!U136+'PRESUPUESTO SIGEF 2021'!U137+'PRESUPUESTO SIGEF 2021'!U138</f>
        <v>495000</v>
      </c>
    </row>
    <row r="32" spans="1:16" x14ac:dyDescent="0.25">
      <c r="A32" s="1" t="s">
        <v>44</v>
      </c>
      <c r="B32" s="1" t="s">
        <v>45</v>
      </c>
      <c r="C32" s="2">
        <f>+'PRESUPUESTO SIGEF 2021'!E139+'PRESUPUESTO SIGEF 2021'!E141</f>
        <v>0</v>
      </c>
      <c r="D32" s="2">
        <f>+'PRESUPUESTO SIGEF 2021'!F139+'PRESUPUESTO SIGEF 2021'!F141</f>
        <v>51265</v>
      </c>
      <c r="E32" s="2">
        <f>+'PRESUPUESTO SIGEF 2021'!G139+'PRESUPUESTO SIGEF 2021'!G141</f>
        <v>0</v>
      </c>
      <c r="F32" s="2">
        <f>+'PRESUPUESTO SIGEF 2021'!H139+'PRESUPUESTO SIGEF 2021'!H141</f>
        <v>0</v>
      </c>
      <c r="G32" s="2">
        <f>+'PRESUPUESTO SIGEF 2021'!I139+'PRESUPUESTO SIGEF 2021'!I141</f>
        <v>310000</v>
      </c>
      <c r="H32" s="2">
        <f>+'PRESUPUESTO SIGEF 2021'!J139+'PRESUPUESTO SIGEF 2021'!J141</f>
        <v>0</v>
      </c>
      <c r="I32" s="2">
        <f>+'PRESUPUESTO SIGEF 2021'!K139+'PRESUPUESTO SIGEF 2021'!K141</f>
        <v>0</v>
      </c>
      <c r="J32" s="2">
        <f>+'PRESUPUESTO SIGEF 2021'!L139+'PRESUPUESTO SIGEF 2021'!L141</f>
        <v>31185</v>
      </c>
      <c r="K32" s="2">
        <f>+'PRESUPUESTO SIGEF 2021'!M139+'PRESUPUESTO SIGEF 2021'!M141</f>
        <v>0</v>
      </c>
      <c r="L32" s="2">
        <f>+'PRESUPUESTO SIGEF 2021'!N139+'PRESUPUESTO SIGEF 2021'!N141</f>
        <v>0</v>
      </c>
      <c r="M32" s="2">
        <f>+'PRESUPUESTO SIGEF 2021'!O139+'PRESUPUESTO SIGEF 2021'!O141</f>
        <v>14425</v>
      </c>
      <c r="N32" s="2">
        <f>+'PRESUPUESTO SIGEF 2021'!P139+'PRESUPUESTO SIGEF 2021'!P141</f>
        <v>0</v>
      </c>
      <c r="O32" s="2">
        <f t="shared" si="1"/>
        <v>406875</v>
      </c>
      <c r="P32" s="2">
        <v>404525</v>
      </c>
    </row>
    <row r="33" spans="1:16" x14ac:dyDescent="0.25">
      <c r="A33" s="1" t="s">
        <v>46</v>
      </c>
      <c r="B33" s="1" t="s">
        <v>47</v>
      </c>
      <c r="C33" s="2">
        <f>+'PRESUPUESTO SIGEF 2021'!E143+'PRESUPUESTO SIGEF 2021'!E147+'PRESUPUESTO SIGEF 2021'!E149+'PRESUPUESTO SIGEF 2021'!E151</f>
        <v>312000</v>
      </c>
      <c r="D33" s="2">
        <f>+'PRESUPUESTO SIGEF 2021'!F143+'PRESUPUESTO SIGEF 2021'!F147+'PRESUPUESTO SIGEF 2021'!F149+'PRESUPUESTO SIGEF 2021'!F151</f>
        <v>327000</v>
      </c>
      <c r="E33" s="2">
        <f>+'PRESUPUESTO SIGEF 2021'!G143+'PRESUPUESTO SIGEF 2021'!G147+'PRESUPUESTO SIGEF 2021'!G149+'PRESUPUESTO SIGEF 2021'!G151</f>
        <v>312000</v>
      </c>
      <c r="F33" s="2">
        <f>+'PRESUPUESTO SIGEF 2021'!H143+'PRESUPUESTO SIGEF 2021'!H147+'PRESUPUESTO SIGEF 2021'!H149+'PRESUPUESTO SIGEF 2021'!H151</f>
        <v>312000</v>
      </c>
      <c r="G33" s="2">
        <f>+'PRESUPUESTO SIGEF 2021'!I143+'PRESUPUESTO SIGEF 2021'!I147+'PRESUPUESTO SIGEF 2021'!I149+'PRESUPUESTO SIGEF 2021'!I151</f>
        <v>382000</v>
      </c>
      <c r="H33" s="2">
        <f>+'PRESUPUESTO SIGEF 2021'!J143+'PRESUPUESTO SIGEF 2021'!J147+'PRESUPUESTO SIGEF 2021'!J149+'PRESUPUESTO SIGEF 2021'!J151</f>
        <v>312000</v>
      </c>
      <c r="I33" s="2">
        <f>+'PRESUPUESTO SIGEF 2021'!K143+'PRESUPUESTO SIGEF 2021'!K147+'PRESUPUESTO SIGEF 2021'!K149+'PRESUPUESTO SIGEF 2021'!K151</f>
        <v>312000</v>
      </c>
      <c r="J33" s="2">
        <f>+'PRESUPUESTO SIGEF 2021'!L143+'PRESUPUESTO SIGEF 2021'!L147+'PRESUPUESTO SIGEF 2021'!L149+'PRESUPUESTO SIGEF 2021'!L151</f>
        <v>327000</v>
      </c>
      <c r="K33" s="2">
        <f>+'PRESUPUESTO SIGEF 2021'!M143+'PRESUPUESTO SIGEF 2021'!M147+'PRESUPUESTO SIGEF 2021'!M149+'PRESUPUESTO SIGEF 2021'!M151</f>
        <v>312000</v>
      </c>
      <c r="L33" s="2">
        <f>+'PRESUPUESTO SIGEF 2021'!N143+'PRESUPUESTO SIGEF 2021'!N147+'PRESUPUESTO SIGEF 2021'!N149+'PRESUPUESTO SIGEF 2021'!N151</f>
        <v>312000</v>
      </c>
      <c r="M33" s="2">
        <f>+'PRESUPUESTO SIGEF 2021'!O143+'PRESUPUESTO SIGEF 2021'!O147+'PRESUPUESTO SIGEF 2021'!O149+'PRESUPUESTO SIGEF 2021'!O151</f>
        <v>312000</v>
      </c>
      <c r="N33" s="2">
        <f>+'PRESUPUESTO SIGEF 2021'!P143+'PRESUPUESTO SIGEF 2021'!P147+'PRESUPUESTO SIGEF 2021'!P149+'PRESUPUESTO SIGEF 2021'!P151</f>
        <v>312000</v>
      </c>
      <c r="O33" s="2">
        <f t="shared" si="1"/>
        <v>3844000</v>
      </c>
      <c r="P33" s="2">
        <v>4363568.16</v>
      </c>
    </row>
    <row r="34" spans="1:16" x14ac:dyDescent="0.25">
      <c r="A34" s="1" t="s">
        <v>48</v>
      </c>
      <c r="B34" s="1" t="s">
        <v>49</v>
      </c>
      <c r="C34" s="2">
        <f>+'PRESUPUESTO SIGEF 2021'!E152+'PRESUPUESTO SIGEF 2021'!E154+'PRESUPUESTO SIGEF 2021'!E160+'PRESUPUESTO SIGEF 2021'!E162+'PRESUPUESTO SIGEF 2021'!E166</f>
        <v>0</v>
      </c>
      <c r="D34" s="2">
        <f>+'PRESUPUESTO SIGEF 2021'!F152+'PRESUPUESTO SIGEF 2021'!F154+'PRESUPUESTO SIGEF 2021'!F160+'PRESUPUESTO SIGEF 2021'!F162+'PRESUPUESTO SIGEF 2021'!F166</f>
        <v>2229800</v>
      </c>
      <c r="E34" s="2">
        <f>+'PRESUPUESTO SIGEF 2021'!G152+'PRESUPUESTO SIGEF 2021'!G154+'PRESUPUESTO SIGEF 2021'!G160+'PRESUPUESTO SIGEF 2021'!G162+'PRESUPUESTO SIGEF 2021'!G166</f>
        <v>0</v>
      </c>
      <c r="F34" s="2">
        <f>+'PRESUPUESTO SIGEF 2021'!H152+'PRESUPUESTO SIGEF 2021'!H154+'PRESUPUESTO SIGEF 2021'!H160+'PRESUPUESTO SIGEF 2021'!H162+'PRESUPUESTO SIGEF 2021'!H166</f>
        <v>0</v>
      </c>
      <c r="G34" s="2">
        <f>+'PRESUPUESTO SIGEF 2021'!I152+'PRESUPUESTO SIGEF 2021'!I154+'PRESUPUESTO SIGEF 2021'!I160+'PRESUPUESTO SIGEF 2021'!I162+'PRESUPUESTO SIGEF 2021'!I166</f>
        <v>1607299</v>
      </c>
      <c r="H34" s="2">
        <f>+'PRESUPUESTO SIGEF 2021'!J152+'PRESUPUESTO SIGEF 2021'!J154+'PRESUPUESTO SIGEF 2021'!J160+'PRESUPUESTO SIGEF 2021'!J162+'PRESUPUESTO SIGEF 2021'!J166</f>
        <v>1100000</v>
      </c>
      <c r="I34" s="2">
        <f>+'PRESUPUESTO SIGEF 2021'!K152+'PRESUPUESTO SIGEF 2021'!K154+'PRESUPUESTO SIGEF 2021'!K160+'PRESUPUESTO SIGEF 2021'!K162+'PRESUPUESTO SIGEF 2021'!K166</f>
        <v>0</v>
      </c>
      <c r="J34" s="2">
        <f>+'PRESUPUESTO SIGEF 2021'!L152+'PRESUPUESTO SIGEF 2021'!L154+'PRESUPUESTO SIGEF 2021'!L160+'PRESUPUESTO SIGEF 2021'!L162+'PRESUPUESTO SIGEF 2021'!L166</f>
        <v>2151160</v>
      </c>
      <c r="K34" s="2">
        <f>+'PRESUPUESTO SIGEF 2021'!M152+'PRESUPUESTO SIGEF 2021'!M154+'PRESUPUESTO SIGEF 2021'!M160+'PRESUPUESTO SIGEF 2021'!M162+'PRESUPUESTO SIGEF 2021'!M166</f>
        <v>0</v>
      </c>
      <c r="L34" s="2">
        <f>+'PRESUPUESTO SIGEF 2021'!N152+'PRESUPUESTO SIGEF 2021'!N154+'PRESUPUESTO SIGEF 2021'!N160+'PRESUPUESTO SIGEF 2021'!N162+'PRESUPUESTO SIGEF 2021'!N166</f>
        <v>1810000</v>
      </c>
      <c r="M34" s="2">
        <f>+'PRESUPUESTO SIGEF 2021'!O152+'PRESUPUESTO SIGEF 2021'!O154+'PRESUPUESTO SIGEF 2021'!O160+'PRESUPUESTO SIGEF 2021'!O162+'PRESUPUESTO SIGEF 2021'!O166</f>
        <v>119449</v>
      </c>
      <c r="N34" s="2">
        <f>+'PRESUPUESTO SIGEF 2021'!P152+'PRESUPUESTO SIGEF 2021'!P154+'PRESUPUESTO SIGEF 2021'!P160+'PRESUPUESTO SIGEF 2021'!P162+'PRESUPUESTO SIGEF 2021'!P166</f>
        <v>0</v>
      </c>
      <c r="O34" s="2">
        <f t="shared" si="1"/>
        <v>9017708</v>
      </c>
      <c r="P34" s="2">
        <v>23820881.050000001</v>
      </c>
    </row>
    <row r="35" spans="1:16" x14ac:dyDescent="0.25">
      <c r="A35" s="118">
        <v>2.4</v>
      </c>
      <c r="B35" s="119" t="s">
        <v>50</v>
      </c>
      <c r="C35" s="120">
        <f>SUM(C36:C37)</f>
        <v>20000</v>
      </c>
      <c r="D35" s="120">
        <f t="shared" ref="D35:N35" si="4">SUM(D36:D37)</f>
        <v>3845000</v>
      </c>
      <c r="E35" s="120">
        <f t="shared" si="4"/>
        <v>495000</v>
      </c>
      <c r="F35" s="120">
        <f t="shared" si="4"/>
        <v>20000</v>
      </c>
      <c r="G35" s="120">
        <f t="shared" si="4"/>
        <v>20000</v>
      </c>
      <c r="H35" s="120">
        <f t="shared" si="4"/>
        <v>20000</v>
      </c>
      <c r="I35" s="120">
        <f t="shared" si="4"/>
        <v>3720000</v>
      </c>
      <c r="J35" s="120">
        <f t="shared" si="4"/>
        <v>20000</v>
      </c>
      <c r="K35" s="120">
        <f t="shared" si="4"/>
        <v>20000</v>
      </c>
      <c r="L35" s="120">
        <f t="shared" si="4"/>
        <v>20000</v>
      </c>
      <c r="M35" s="120">
        <f t="shared" si="4"/>
        <v>20000</v>
      </c>
      <c r="N35" s="120">
        <f t="shared" si="4"/>
        <v>20000</v>
      </c>
      <c r="O35" s="120">
        <f t="shared" si="1"/>
        <v>8240000</v>
      </c>
      <c r="P35" s="120">
        <f>SUM(P36:P37)</f>
        <v>3890000</v>
      </c>
    </row>
    <row r="36" spans="1:16" x14ac:dyDescent="0.25">
      <c r="A36" s="1" t="s">
        <v>51</v>
      </c>
      <c r="B36" s="1" t="s">
        <v>52</v>
      </c>
      <c r="C36" s="2">
        <f>+'PRESUPUESTO SIGEF 2021'!E171</f>
        <v>20000</v>
      </c>
      <c r="D36" s="2">
        <f>+'PRESUPUESTO SIGEF 2021'!F171</f>
        <v>20000</v>
      </c>
      <c r="E36" s="2">
        <f>+'PRESUPUESTO SIGEF 2021'!G171</f>
        <v>20000</v>
      </c>
      <c r="F36" s="2">
        <f>+'PRESUPUESTO SIGEF 2021'!H171</f>
        <v>20000</v>
      </c>
      <c r="G36" s="2">
        <f>+'PRESUPUESTO SIGEF 2021'!I171</f>
        <v>20000</v>
      </c>
      <c r="H36" s="2">
        <f>+'PRESUPUESTO SIGEF 2021'!J171</f>
        <v>20000</v>
      </c>
      <c r="I36" s="2">
        <f>+'PRESUPUESTO SIGEF 2021'!K171</f>
        <v>20000</v>
      </c>
      <c r="J36" s="2">
        <f>+'PRESUPUESTO SIGEF 2021'!L171</f>
        <v>20000</v>
      </c>
      <c r="K36" s="2">
        <f>+'PRESUPUESTO SIGEF 2021'!M171</f>
        <v>20000</v>
      </c>
      <c r="L36" s="2">
        <f>+'PRESUPUESTO SIGEF 2021'!N171</f>
        <v>20000</v>
      </c>
      <c r="M36" s="2">
        <f>+'PRESUPUESTO SIGEF 2021'!O171</f>
        <v>20000</v>
      </c>
      <c r="N36" s="2">
        <f>+'PRESUPUESTO SIGEF 2021'!P171</f>
        <v>20000</v>
      </c>
      <c r="O36" s="2">
        <f t="shared" si="1"/>
        <v>240000</v>
      </c>
      <c r="P36" s="2">
        <f>+'PRESUPUESTO SIGEF 2021'!U171</f>
        <v>240000</v>
      </c>
    </row>
    <row r="37" spans="1:16" x14ac:dyDescent="0.25">
      <c r="A37" s="1" t="s">
        <v>53</v>
      </c>
      <c r="B37" s="1" t="s">
        <v>54</v>
      </c>
      <c r="C37" s="2">
        <f>+'PRESUPUESTO SIGEF 2021'!E172+'PRESUPUESTO SIGEF 2021'!E173</f>
        <v>0</v>
      </c>
      <c r="D37" s="2">
        <f>+'PRESUPUESTO SIGEF 2021'!F172+'PRESUPUESTO SIGEF 2021'!F173</f>
        <v>3825000</v>
      </c>
      <c r="E37" s="2">
        <f>+'PRESUPUESTO SIGEF 2021'!G172+'PRESUPUESTO SIGEF 2021'!G173</f>
        <v>475000</v>
      </c>
      <c r="F37" s="2">
        <f>+'PRESUPUESTO SIGEF 2021'!H172+'PRESUPUESTO SIGEF 2021'!H173</f>
        <v>0</v>
      </c>
      <c r="G37" s="2">
        <f>+'PRESUPUESTO SIGEF 2021'!I172+'PRESUPUESTO SIGEF 2021'!I173</f>
        <v>0</v>
      </c>
      <c r="H37" s="2">
        <f>+'PRESUPUESTO SIGEF 2021'!J172+'PRESUPUESTO SIGEF 2021'!J173</f>
        <v>0</v>
      </c>
      <c r="I37" s="2">
        <f>+'PRESUPUESTO SIGEF 2021'!K172+'PRESUPUESTO SIGEF 2021'!K173</f>
        <v>3700000</v>
      </c>
      <c r="J37" s="2">
        <f>+'PRESUPUESTO SIGEF 2021'!L172+'PRESUPUESTO SIGEF 2021'!L173</f>
        <v>0</v>
      </c>
      <c r="K37" s="2">
        <f>+'PRESUPUESTO SIGEF 2021'!M172+'PRESUPUESTO SIGEF 2021'!M173</f>
        <v>0</v>
      </c>
      <c r="L37" s="2">
        <f>+'PRESUPUESTO SIGEF 2021'!N172+'PRESUPUESTO SIGEF 2021'!N173</f>
        <v>0</v>
      </c>
      <c r="M37" s="2">
        <f>+'PRESUPUESTO SIGEF 2021'!O172+'PRESUPUESTO SIGEF 2021'!O173</f>
        <v>0</v>
      </c>
      <c r="N37" s="2">
        <f>+'PRESUPUESTO SIGEF 2021'!P172+'PRESUPUESTO SIGEF 2021'!P173</f>
        <v>0</v>
      </c>
      <c r="O37" s="2">
        <f t="shared" si="1"/>
        <v>8000000</v>
      </c>
      <c r="P37" s="2">
        <v>3650000</v>
      </c>
    </row>
    <row r="38" spans="1:16" x14ac:dyDescent="0.25">
      <c r="A38" s="118">
        <v>2.6</v>
      </c>
      <c r="B38" s="119" t="s">
        <v>55</v>
      </c>
      <c r="C38" s="120">
        <f>SUM(C39:C42)</f>
        <v>0</v>
      </c>
      <c r="D38" s="120">
        <f t="shared" ref="D38:N38" si="5">SUM(D39:D42)</f>
        <v>5225000</v>
      </c>
      <c r="E38" s="120">
        <f t="shared" si="5"/>
        <v>3025000</v>
      </c>
      <c r="F38" s="120">
        <f t="shared" si="5"/>
        <v>0</v>
      </c>
      <c r="G38" s="120">
        <f t="shared" si="5"/>
        <v>6372000</v>
      </c>
      <c r="H38" s="120">
        <f t="shared" si="5"/>
        <v>650000</v>
      </c>
      <c r="I38" s="120">
        <f t="shared" si="5"/>
        <v>0</v>
      </c>
      <c r="J38" s="120">
        <f t="shared" si="5"/>
        <v>5025000</v>
      </c>
      <c r="K38" s="120">
        <f t="shared" si="5"/>
        <v>0</v>
      </c>
      <c r="L38" s="120">
        <f t="shared" si="5"/>
        <v>1572000</v>
      </c>
      <c r="M38" s="120">
        <f t="shared" si="5"/>
        <v>3434000</v>
      </c>
      <c r="N38" s="120">
        <f t="shared" si="5"/>
        <v>0</v>
      </c>
      <c r="O38" s="120">
        <f t="shared" si="1"/>
        <v>25303000</v>
      </c>
      <c r="P38" s="120">
        <f>SUM(P39:P42)</f>
        <v>79782974.640000001</v>
      </c>
    </row>
    <row r="39" spans="1:16" x14ac:dyDescent="0.25">
      <c r="A39" s="1" t="s">
        <v>56</v>
      </c>
      <c r="B39" s="1" t="s">
        <v>57</v>
      </c>
      <c r="C39" s="2">
        <f>+'PRESUPUESTO SIGEF 2021'!E174+'PRESUPUESTO SIGEF 2021'!E176+'PRESUPUESTO SIGEF 2021'!E178</f>
        <v>0</v>
      </c>
      <c r="D39" s="2">
        <f>+'PRESUPUESTO SIGEF 2021'!F174+'PRESUPUESTO SIGEF 2021'!F176+'PRESUPUESTO SIGEF 2021'!F178</f>
        <v>1450000</v>
      </c>
      <c r="E39" s="2">
        <f>+'PRESUPUESTO SIGEF 2021'!G174+'PRESUPUESTO SIGEF 2021'!G176+'PRESUPUESTO SIGEF 2021'!G178</f>
        <v>3025000</v>
      </c>
      <c r="F39" s="2">
        <f>+'PRESUPUESTO SIGEF 2021'!H174+'PRESUPUESTO SIGEF 2021'!H176+'PRESUPUESTO SIGEF 2021'!H178</f>
        <v>0</v>
      </c>
      <c r="G39" s="2">
        <f>+'PRESUPUESTO SIGEF 2021'!I174+'PRESUPUESTO SIGEF 2021'!I176+'PRESUPUESTO SIGEF 2021'!I178</f>
        <v>3400000</v>
      </c>
      <c r="H39" s="2">
        <f>+'PRESUPUESTO SIGEF 2021'!J174+'PRESUPUESTO SIGEF 2021'!J176+'PRESUPUESTO SIGEF 2021'!J178</f>
        <v>650000</v>
      </c>
      <c r="I39" s="2">
        <f>+'PRESUPUESTO SIGEF 2021'!K174+'PRESUPUESTO SIGEF 2021'!K176+'PRESUPUESTO SIGEF 2021'!K178</f>
        <v>0</v>
      </c>
      <c r="J39" s="2">
        <f>+'PRESUPUESTO SIGEF 2021'!L174+'PRESUPUESTO SIGEF 2021'!L176+'PRESUPUESTO SIGEF 2021'!L178</f>
        <v>2215000</v>
      </c>
      <c r="K39" s="2">
        <f>+'PRESUPUESTO SIGEF 2021'!M174+'PRESUPUESTO SIGEF 2021'!M176+'PRESUPUESTO SIGEF 2021'!M178</f>
        <v>0</v>
      </c>
      <c r="L39" s="2">
        <f>+'PRESUPUESTO SIGEF 2021'!N174+'PRESUPUESTO SIGEF 2021'!N176+'PRESUPUESTO SIGEF 2021'!N178</f>
        <v>0</v>
      </c>
      <c r="M39" s="2">
        <f>+'PRESUPUESTO SIGEF 2021'!O174+'PRESUPUESTO SIGEF 2021'!O176+'PRESUPUESTO SIGEF 2021'!O178</f>
        <v>3434000</v>
      </c>
      <c r="N39" s="2">
        <f>+'PRESUPUESTO SIGEF 2021'!P174+'PRESUPUESTO SIGEF 2021'!P176+'PRESUPUESTO SIGEF 2021'!P178</f>
        <v>0</v>
      </c>
      <c r="O39" s="2">
        <f t="shared" si="1"/>
        <v>14174000</v>
      </c>
      <c r="P39" s="2">
        <v>66978632.009999998</v>
      </c>
    </row>
    <row r="40" spans="1:16" x14ac:dyDescent="0.25">
      <c r="A40" s="1" t="s">
        <v>58</v>
      </c>
      <c r="B40" s="1" t="s">
        <v>59</v>
      </c>
      <c r="C40" s="2">
        <f>+'PRESUPUESTO SIGEF 2021'!E182</f>
        <v>0</v>
      </c>
      <c r="D40" s="2">
        <f>+'PRESUPUESTO SIGEF 2021'!F182</f>
        <v>875000</v>
      </c>
      <c r="E40" s="2">
        <f>+'PRESUPUESTO SIGEF 2021'!G182</f>
        <v>0</v>
      </c>
      <c r="F40" s="2">
        <f>+'PRESUPUESTO SIGEF 2021'!H182</f>
        <v>0</v>
      </c>
      <c r="G40" s="2">
        <f>+'PRESUPUESTO SIGEF 2021'!I182</f>
        <v>172000</v>
      </c>
      <c r="H40" s="2">
        <f>+'PRESUPUESTO SIGEF 2021'!J182</f>
        <v>0</v>
      </c>
      <c r="I40" s="2">
        <f>+'PRESUPUESTO SIGEF 2021'!K182</f>
        <v>0</v>
      </c>
      <c r="J40" s="2">
        <f>+'PRESUPUESTO SIGEF 2021'!L182</f>
        <v>60000</v>
      </c>
      <c r="K40" s="2">
        <f>+'PRESUPUESTO SIGEF 2021'!M182</f>
        <v>0</v>
      </c>
      <c r="L40" s="2">
        <f>+'PRESUPUESTO SIGEF 2021'!N182</f>
        <v>0</v>
      </c>
      <c r="M40" s="2">
        <f>+'PRESUPUESTO SIGEF 2021'!O182</f>
        <v>0</v>
      </c>
      <c r="N40" s="2">
        <f>+'PRESUPUESTO SIGEF 2021'!P182</f>
        <v>0</v>
      </c>
      <c r="O40" s="2">
        <f t="shared" si="1"/>
        <v>1107000</v>
      </c>
      <c r="P40" s="2">
        <v>10589342.630000001</v>
      </c>
    </row>
    <row r="41" spans="1:16" x14ac:dyDescent="0.25">
      <c r="A41" s="1" t="s">
        <v>638</v>
      </c>
      <c r="B41" s="1" t="s">
        <v>639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>
        <v>0</v>
      </c>
      <c r="P41" s="2">
        <f>+'PRESUPUESTO SIGEF 2021'!U184+'PRESUPUESTO SIGEF 2021'!U186</f>
        <v>1415000</v>
      </c>
    </row>
    <row r="42" spans="1:16" x14ac:dyDescent="0.25">
      <c r="A42" s="1" t="s">
        <v>60</v>
      </c>
      <c r="B42" s="1" t="s">
        <v>387</v>
      </c>
      <c r="C42" s="2">
        <f>+'PRESUPUESTO SIGEF 2021'!E188+'PRESUPUESTO SIGEF 2021'!E190</f>
        <v>0</v>
      </c>
      <c r="D42" s="2">
        <f>+'PRESUPUESTO SIGEF 2021'!F188+'PRESUPUESTO SIGEF 2021'!F190</f>
        <v>2900000</v>
      </c>
      <c r="E42" s="2">
        <f>+'PRESUPUESTO SIGEF 2021'!G188+'PRESUPUESTO SIGEF 2021'!G190</f>
        <v>0</v>
      </c>
      <c r="F42" s="2">
        <f>+'PRESUPUESTO SIGEF 2021'!H188+'PRESUPUESTO SIGEF 2021'!H190</f>
        <v>0</v>
      </c>
      <c r="G42" s="2">
        <f>+'PRESUPUESTO SIGEF 2021'!I188+'PRESUPUESTO SIGEF 2021'!I190</f>
        <v>2800000</v>
      </c>
      <c r="H42" s="2">
        <f>+'PRESUPUESTO SIGEF 2021'!J188+'PRESUPUESTO SIGEF 2021'!J190</f>
        <v>0</v>
      </c>
      <c r="I42" s="2">
        <f>+'PRESUPUESTO SIGEF 2021'!K188+'PRESUPUESTO SIGEF 2021'!K190</f>
        <v>0</v>
      </c>
      <c r="J42" s="2">
        <f>+'PRESUPUESTO SIGEF 2021'!L188+'PRESUPUESTO SIGEF 2021'!L190</f>
        <v>2750000</v>
      </c>
      <c r="K42" s="2">
        <f>+'PRESUPUESTO SIGEF 2021'!M188+'PRESUPUESTO SIGEF 2021'!M190</f>
        <v>0</v>
      </c>
      <c r="L42" s="2">
        <f>+'PRESUPUESTO SIGEF 2021'!N188+'PRESUPUESTO SIGEF 2021'!N190</f>
        <v>1572000</v>
      </c>
      <c r="M42" s="2">
        <f>+'PRESUPUESTO SIGEF 2021'!O188+'PRESUPUESTO SIGEF 2021'!O190</f>
        <v>0</v>
      </c>
      <c r="N42" s="2">
        <f>+'PRESUPUESTO SIGEF 2021'!P188+'PRESUPUESTO SIGEF 2021'!P190</f>
        <v>0</v>
      </c>
      <c r="O42" s="2">
        <f t="shared" si="1"/>
        <v>10022000</v>
      </c>
      <c r="P42" s="2">
        <v>800000</v>
      </c>
    </row>
    <row r="43" spans="1:16" x14ac:dyDescent="0.25">
      <c r="A43" s="118">
        <v>2.7</v>
      </c>
      <c r="B43" s="119" t="s">
        <v>637</v>
      </c>
      <c r="C43" s="120">
        <f>SUM(C44:C46)</f>
        <v>8656699.916666666</v>
      </c>
      <c r="D43" s="120">
        <f t="shared" ref="D43:N43" si="6">SUM(D44:D46)</f>
        <v>28345135.916666664</v>
      </c>
      <c r="E43" s="120">
        <f t="shared" si="6"/>
        <v>14438699.916666668</v>
      </c>
      <c r="F43" s="120">
        <f t="shared" si="6"/>
        <v>9896569.916666666</v>
      </c>
      <c r="G43" s="120">
        <f t="shared" si="6"/>
        <v>23917748.916666668</v>
      </c>
      <c r="H43" s="120">
        <f t="shared" si="6"/>
        <v>19620199.916666668</v>
      </c>
      <c r="I43" s="120">
        <f t="shared" si="6"/>
        <v>12377199.916666666</v>
      </c>
      <c r="J43" s="120">
        <f t="shared" si="6"/>
        <v>23581034.916666668</v>
      </c>
      <c r="K43" s="120">
        <f t="shared" si="6"/>
        <v>8632199.916666666</v>
      </c>
      <c r="L43" s="120">
        <f t="shared" si="6"/>
        <v>14175199.916666666</v>
      </c>
      <c r="M43" s="120">
        <f t="shared" si="6"/>
        <v>34883443.916666664</v>
      </c>
      <c r="N43" s="120">
        <f t="shared" si="6"/>
        <v>8630199.916666666</v>
      </c>
      <c r="O43" s="120">
        <f>+O44</f>
        <v>0</v>
      </c>
      <c r="P43" s="120">
        <f>+P44</f>
        <v>93000000</v>
      </c>
    </row>
    <row r="44" spans="1:16" x14ac:dyDescent="0.25">
      <c r="A44" s="1" t="s">
        <v>379</v>
      </c>
      <c r="B44" s="1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>
        <f t="shared" si="1"/>
        <v>0</v>
      </c>
      <c r="P44" s="2">
        <v>93000000</v>
      </c>
    </row>
    <row r="45" spans="1:16" x14ac:dyDescent="0.25">
      <c r="A45" s="116"/>
      <c r="B45" s="116" t="s">
        <v>62</v>
      </c>
      <c r="C45" s="121">
        <f>+C38+C35+C26+C16+C10</f>
        <v>8656699.916666666</v>
      </c>
      <c r="D45" s="121">
        <f t="shared" ref="D45:O45" si="7">+D38+D35+D26+D16+D10</f>
        <v>28345135.916666664</v>
      </c>
      <c r="E45" s="121">
        <f t="shared" si="7"/>
        <v>14438699.916666668</v>
      </c>
      <c r="F45" s="121">
        <f t="shared" si="7"/>
        <v>9896569.916666666</v>
      </c>
      <c r="G45" s="121">
        <f t="shared" si="7"/>
        <v>23917748.916666668</v>
      </c>
      <c r="H45" s="121">
        <f t="shared" si="7"/>
        <v>19620199.916666668</v>
      </c>
      <c r="I45" s="121">
        <f t="shared" si="7"/>
        <v>12377199.916666666</v>
      </c>
      <c r="J45" s="121">
        <f t="shared" si="7"/>
        <v>23581034.916666668</v>
      </c>
      <c r="K45" s="121">
        <f t="shared" si="7"/>
        <v>8632199.916666666</v>
      </c>
      <c r="L45" s="121">
        <f t="shared" si="7"/>
        <v>14175199.916666666</v>
      </c>
      <c r="M45" s="121">
        <f t="shared" si="7"/>
        <v>34883443.916666664</v>
      </c>
      <c r="N45" s="121">
        <f t="shared" si="7"/>
        <v>8630199.916666666</v>
      </c>
      <c r="O45" s="121">
        <f t="shared" si="7"/>
        <v>207154333</v>
      </c>
      <c r="P45" s="256">
        <f>+P10+P16+P26+P35+P38+P43</f>
        <v>389035099.88</v>
      </c>
    </row>
    <row r="46" spans="1:16" x14ac:dyDescent="0.25">
      <c r="B46" s="260" t="s">
        <v>645</v>
      </c>
    </row>
    <row r="47" spans="1:16" x14ac:dyDescent="0.25">
      <c r="C47" s="50">
        <f>+'PRESUPUESTO SIGEF 2021'!E192</f>
        <v>8656699.9166666679</v>
      </c>
      <c r="D47" s="50">
        <f>+'PRESUPUESTO SIGEF 2021'!F192</f>
        <v>28345135.916666668</v>
      </c>
      <c r="E47" s="50">
        <f>+'PRESUPUESTO SIGEF 2021'!G192</f>
        <v>14438699.916666666</v>
      </c>
      <c r="F47" s="50">
        <f>+'PRESUPUESTO SIGEF 2021'!H192</f>
        <v>9896569.9166666679</v>
      </c>
      <c r="G47" s="50">
        <f>+'PRESUPUESTO SIGEF 2021'!I192</f>
        <v>23917748.916666668</v>
      </c>
      <c r="H47" s="50">
        <f>+'PRESUPUESTO SIGEF 2021'!J192</f>
        <v>19620199.916666664</v>
      </c>
      <c r="I47" s="50">
        <f>+'PRESUPUESTO SIGEF 2021'!K192</f>
        <v>12377199.916666664</v>
      </c>
      <c r="J47" s="50">
        <f>+'PRESUPUESTO SIGEF 2021'!L192</f>
        <v>23581034.916666672</v>
      </c>
      <c r="K47" s="50">
        <f>+'PRESUPUESTO SIGEF 2021'!M192</f>
        <v>8632199.9166666679</v>
      </c>
      <c r="L47" s="50">
        <f>+'PRESUPUESTO SIGEF 2021'!N192</f>
        <v>14175199.916666666</v>
      </c>
      <c r="M47" s="50">
        <f>+'PRESUPUESTO SIGEF 2021'!O192</f>
        <v>34883443.916666664</v>
      </c>
      <c r="N47" s="50">
        <f>+'PRESUPUESTO SIGEF 2021'!P192</f>
        <v>8630199.9166666679</v>
      </c>
      <c r="O47" s="50"/>
      <c r="P47" s="50"/>
    </row>
    <row r="48" spans="1:16" x14ac:dyDescent="0.25">
      <c r="P48" s="51"/>
    </row>
    <row r="49" spans="3:16" x14ac:dyDescent="0.2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</sheetData>
  <mergeCells count="4">
    <mergeCell ref="A4:P4"/>
    <mergeCell ref="A5:P5"/>
    <mergeCell ref="A6:P6"/>
    <mergeCell ref="A7:P7"/>
  </mergeCells>
  <pageMargins left="0.7" right="0.7" top="0.75" bottom="0.75" header="0.3" footer="0.3"/>
  <pageSetup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43"/>
  <sheetViews>
    <sheetView showGridLines="0" tabSelected="1" topLeftCell="A12" zoomScaleNormal="100" workbookViewId="0">
      <pane xSplit="3" ySplit="5" topLeftCell="D17" activePane="bottomRight" state="frozen"/>
      <selection activeCell="A12" sqref="A12"/>
      <selection pane="topRight" activeCell="D12" sqref="D12"/>
      <selection pane="bottomLeft" activeCell="A17" sqref="A17"/>
      <selection pane="bottomRight" activeCell="D221" sqref="D221"/>
    </sheetView>
  </sheetViews>
  <sheetFormatPr defaultColWidth="9.140625" defaultRowHeight="15" x14ac:dyDescent="0.25"/>
  <cols>
    <col min="1" max="1" width="1.140625" style="4" customWidth="1"/>
    <col min="2" max="2" width="11.28515625" style="4" bestFit="1" customWidth="1"/>
    <col min="3" max="3" width="73.140625" style="4" customWidth="1"/>
    <col min="4" max="4" width="16.5703125" style="4" bestFit="1" customWidth="1"/>
    <col min="5" max="5" width="18" style="4" bestFit="1" customWidth="1"/>
    <col min="6" max="6" width="18.85546875" style="4" customWidth="1"/>
    <col min="7" max="7" width="16.5703125" style="4" bestFit="1" customWidth="1"/>
    <col min="8" max="9" width="18" style="4" bestFit="1" customWidth="1"/>
    <col min="10" max="10" width="18.85546875" style="4" customWidth="1"/>
    <col min="11" max="11" width="16.5703125" style="4" bestFit="1" customWidth="1"/>
    <col min="12" max="12" width="18.140625" style="4" customWidth="1"/>
    <col min="13" max="13" width="18.28515625" style="4" customWidth="1"/>
    <col min="14" max="14" width="18" style="4" bestFit="1" customWidth="1"/>
    <col min="15" max="15" width="20" style="4" customWidth="1"/>
    <col min="16" max="16" width="21.7109375" style="4" customWidth="1"/>
    <col min="17" max="17" width="18" style="26" bestFit="1" customWidth="1"/>
    <col min="18" max="18" width="21.140625" style="26" customWidth="1"/>
    <col min="19" max="21" width="9.140625" style="26"/>
    <col min="22" max="16384" width="9.140625" style="4"/>
  </cols>
  <sheetData>
    <row r="1" spans="2:21" x14ac:dyDescent="0.25">
      <c r="D1" s="4">
        <v>0</v>
      </c>
      <c r="E1" s="4">
        <v>0</v>
      </c>
      <c r="F1" s="4">
        <v>0</v>
      </c>
    </row>
    <row r="2" spans="2:21" x14ac:dyDescent="0.25">
      <c r="D2" s="4">
        <v>0</v>
      </c>
      <c r="E2" s="4">
        <v>0</v>
      </c>
      <c r="F2" s="4">
        <v>0</v>
      </c>
    </row>
    <row r="3" spans="2:21" x14ac:dyDescent="0.25">
      <c r="D3" s="4">
        <v>0</v>
      </c>
      <c r="E3" s="4">
        <v>0</v>
      </c>
      <c r="F3" s="4">
        <v>0</v>
      </c>
    </row>
    <row r="4" spans="2:21" x14ac:dyDescent="0.25">
      <c r="D4" s="4">
        <v>0</v>
      </c>
      <c r="E4" s="4">
        <v>0</v>
      </c>
      <c r="F4" s="4">
        <v>0</v>
      </c>
    </row>
    <row r="5" spans="2:21" x14ac:dyDescent="0.25">
      <c r="D5" s="4">
        <v>0</v>
      </c>
      <c r="E5" s="4">
        <v>0</v>
      </c>
      <c r="F5" s="4">
        <v>0</v>
      </c>
    </row>
    <row r="6" spans="2:21" x14ac:dyDescent="0.25">
      <c r="D6" s="4">
        <v>0</v>
      </c>
      <c r="E6" s="4">
        <v>0</v>
      </c>
      <c r="F6" s="4">
        <v>0</v>
      </c>
    </row>
    <row r="7" spans="2:21" x14ac:dyDescent="0.25">
      <c r="B7" s="277" t="s">
        <v>67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2:21" x14ac:dyDescent="0.25">
      <c r="B8" s="277" t="s">
        <v>68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2:21" x14ac:dyDescent="0.25">
      <c r="B9" s="277" t="s">
        <v>69</v>
      </c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</row>
    <row r="10" spans="2:21" x14ac:dyDescent="0.25">
      <c r="B10" s="278" t="s">
        <v>70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</row>
    <row r="11" spans="2:21" x14ac:dyDescent="0.25">
      <c r="B11" s="5"/>
      <c r="C11" s="5"/>
      <c r="D11" s="5">
        <v>0</v>
      </c>
      <c r="E11" s="5">
        <v>0</v>
      </c>
      <c r="F11" s="5">
        <v>0</v>
      </c>
      <c r="G11" s="5"/>
      <c r="H11" s="5"/>
      <c r="I11" s="5"/>
      <c r="J11" s="5"/>
      <c r="K11" s="5"/>
      <c r="L11" s="6"/>
      <c r="M11" s="6"/>
      <c r="N11" s="6"/>
      <c r="O11" s="5"/>
    </row>
    <row r="12" spans="2:21" x14ac:dyDescent="0.25">
      <c r="C12" s="100" t="s">
        <v>526</v>
      </c>
      <c r="D12" s="101">
        <f>6060336.24-D13</f>
        <v>-45893.199999999255</v>
      </c>
      <c r="E12" s="102">
        <f>9030255.61-E13</f>
        <v>0</v>
      </c>
      <c r="F12" s="4">
        <v>0</v>
      </c>
      <c r="G12" s="122">
        <f>+G13-9254161.06</f>
        <v>0</v>
      </c>
      <c r="H12" s="122">
        <f>12568133.68-H13</f>
        <v>0</v>
      </c>
      <c r="I12" s="122">
        <f>18340120.25-I13</f>
        <v>0</v>
      </c>
      <c r="M12" s="122">
        <f>8402980.26-M13</f>
        <v>0</v>
      </c>
      <c r="P12" s="7"/>
      <c r="Q12" s="29"/>
    </row>
    <row r="13" spans="2:21" ht="19.5" thickBot="1" x14ac:dyDescent="0.35">
      <c r="C13" s="8" t="s">
        <v>71</v>
      </c>
      <c r="D13" s="9">
        <f>+D15+D54+D127+D189+D198+D231</f>
        <v>6106229.4399999995</v>
      </c>
      <c r="E13" s="9">
        <f>E15+E54+E127</f>
        <v>9030255.6099999994</v>
      </c>
      <c r="F13" s="9">
        <f t="shared" ref="F13:P13" si="0">+F15+F54+F127+F189+F198+F231</f>
        <v>10095025.42</v>
      </c>
      <c r="G13" s="9">
        <f t="shared" si="0"/>
        <v>9254161.0600000005</v>
      </c>
      <c r="H13" s="9">
        <f t="shared" si="0"/>
        <v>12568133.679999998</v>
      </c>
      <c r="I13" s="9">
        <f t="shared" si="0"/>
        <v>18340120.25</v>
      </c>
      <c r="J13" s="9">
        <f t="shared" si="0"/>
        <v>5876140.9499999993</v>
      </c>
      <c r="K13" s="9">
        <f t="shared" si="0"/>
        <v>9294103.120000001</v>
      </c>
      <c r="L13" s="9">
        <f t="shared" si="0"/>
        <v>18955928.649999999</v>
      </c>
      <c r="M13" s="9">
        <f t="shared" si="0"/>
        <v>8402980.2599999998</v>
      </c>
      <c r="N13" s="9">
        <f t="shared" si="0"/>
        <v>13223721.579999998</v>
      </c>
      <c r="O13" s="9">
        <f t="shared" si="0"/>
        <v>69364290.789999992</v>
      </c>
      <c r="P13" s="9">
        <f t="shared" si="0"/>
        <v>190511090.81</v>
      </c>
      <c r="Q13" s="254"/>
    </row>
    <row r="14" spans="2:21" ht="15.75" thickBot="1" x14ac:dyDescent="0.3">
      <c r="B14" s="10" t="s">
        <v>1</v>
      </c>
      <c r="C14" s="11" t="s">
        <v>72</v>
      </c>
      <c r="D14" s="11" t="s">
        <v>66</v>
      </c>
      <c r="E14" s="11" t="s">
        <v>63</v>
      </c>
      <c r="F14" s="12" t="s">
        <v>73</v>
      </c>
      <c r="G14" s="11" t="s">
        <v>74</v>
      </c>
      <c r="H14" s="12" t="s">
        <v>75</v>
      </c>
      <c r="I14" s="11" t="s">
        <v>76</v>
      </c>
      <c r="J14" s="12" t="s">
        <v>77</v>
      </c>
      <c r="K14" s="11" t="s">
        <v>78</v>
      </c>
      <c r="L14" s="12" t="s">
        <v>79</v>
      </c>
      <c r="M14" s="11" t="s">
        <v>80</v>
      </c>
      <c r="N14" s="12" t="s">
        <v>81</v>
      </c>
      <c r="O14" s="11" t="s">
        <v>82</v>
      </c>
      <c r="P14" s="13" t="s">
        <v>83</v>
      </c>
    </row>
    <row r="15" spans="2:21" s="17" customFormat="1" x14ac:dyDescent="0.25">
      <c r="B15" s="14">
        <v>2.1</v>
      </c>
      <c r="C15" s="15" t="s">
        <v>84</v>
      </c>
      <c r="D15" s="16">
        <f>D16+D34+D47+D42+D45</f>
        <v>5315689.55</v>
      </c>
      <c r="E15" s="16">
        <f t="shared" ref="E15:O15" si="1">E16+E34+E47+E42+E45</f>
        <v>7503978.3200000003</v>
      </c>
      <c r="F15" s="16">
        <f t="shared" si="1"/>
        <v>8075503.0600000005</v>
      </c>
      <c r="G15" s="16">
        <f t="shared" ref="G15" si="2">G16+G34+G47+G42+G45</f>
        <v>7346854.0800000001</v>
      </c>
      <c r="H15" s="16">
        <f t="shared" si="1"/>
        <v>7317854.4100000001</v>
      </c>
      <c r="I15" s="16">
        <f t="shared" si="1"/>
        <v>12584018.51</v>
      </c>
      <c r="J15" s="16">
        <f t="shared" si="1"/>
        <v>7676686.3700000001</v>
      </c>
      <c r="K15" s="16">
        <f t="shared" si="1"/>
        <v>7001376.620000001</v>
      </c>
      <c r="L15" s="16">
        <f t="shared" si="1"/>
        <v>6560094.6299999999</v>
      </c>
      <c r="M15" s="16">
        <f t="shared" si="1"/>
        <v>6755909.7000000002</v>
      </c>
      <c r="N15" s="16">
        <f t="shared" si="1"/>
        <v>11856590.629999999</v>
      </c>
      <c r="O15" s="16">
        <f t="shared" si="1"/>
        <v>27306940.200000003</v>
      </c>
      <c r="P15" s="16">
        <f>SUM(D15:O15)</f>
        <v>115301496.08</v>
      </c>
      <c r="Q15" s="207"/>
      <c r="R15" s="208"/>
      <c r="S15" s="49"/>
      <c r="T15" s="49"/>
      <c r="U15" s="49"/>
    </row>
    <row r="16" spans="2:21" x14ac:dyDescent="0.25">
      <c r="B16" s="18" t="s">
        <v>2</v>
      </c>
      <c r="C16" s="19" t="s">
        <v>85</v>
      </c>
      <c r="D16" s="20">
        <f>+D17+D19+D27+D29+D31</f>
        <v>4634083.33</v>
      </c>
      <c r="E16" s="20">
        <f t="shared" ref="E16:O16" si="3">+E17+E19+E27+E29+E31</f>
        <v>5377466.6699999999</v>
      </c>
      <c r="F16" s="20">
        <f t="shared" si="3"/>
        <v>6576060.2300000004</v>
      </c>
      <c r="G16" s="20">
        <f t="shared" ref="G16" si="4">+G17+G19+G27+G29+G31</f>
        <v>5878742.1600000001</v>
      </c>
      <c r="H16" s="20">
        <f t="shared" si="3"/>
        <v>5593783.3300000001</v>
      </c>
      <c r="I16" s="20">
        <f t="shared" si="3"/>
        <v>6824221.2599999998</v>
      </c>
      <c r="J16" s="20">
        <f t="shared" si="3"/>
        <v>6644053.9900000002</v>
      </c>
      <c r="K16" s="20">
        <f t="shared" si="3"/>
        <v>5844650.3900000006</v>
      </c>
      <c r="L16" s="20">
        <f t="shared" si="3"/>
        <v>5381750</v>
      </c>
      <c r="M16" s="20">
        <f t="shared" si="3"/>
        <v>5600470.1200000001</v>
      </c>
      <c r="N16" s="20">
        <f t="shared" si="3"/>
        <v>5367666.66</v>
      </c>
      <c r="O16" s="20">
        <f t="shared" si="3"/>
        <v>12295130.379999999</v>
      </c>
      <c r="P16" s="20">
        <f t="shared" ref="P16:P89" si="5">SUM(D16:O16)</f>
        <v>76018078.519999996</v>
      </c>
    </row>
    <row r="17" spans="2:17" x14ac:dyDescent="0.25">
      <c r="B17" s="21" t="s">
        <v>86</v>
      </c>
      <c r="C17" s="21" t="s">
        <v>87</v>
      </c>
      <c r="D17" s="22">
        <f>+D18</f>
        <v>3102083.33</v>
      </c>
      <c r="E17" s="22">
        <f>+E18</f>
        <v>3208800</v>
      </c>
      <c r="F17" s="22">
        <f t="shared" ref="F17:O17" si="6">+F18</f>
        <v>2967250</v>
      </c>
      <c r="G17" s="22">
        <f t="shared" si="6"/>
        <v>3177583.33</v>
      </c>
      <c r="H17" s="22">
        <f t="shared" si="6"/>
        <v>2971316.66</v>
      </c>
      <c r="I17" s="22">
        <f t="shared" si="6"/>
        <v>2595750</v>
      </c>
      <c r="J17" s="22">
        <f t="shared" si="6"/>
        <v>2630750</v>
      </c>
      <c r="K17" s="22">
        <f t="shared" si="6"/>
        <v>2634318.8199999998</v>
      </c>
      <c r="L17" s="22">
        <f t="shared" si="6"/>
        <v>2536250</v>
      </c>
      <c r="M17" s="22">
        <f t="shared" si="6"/>
        <v>2535750</v>
      </c>
      <c r="N17" s="22">
        <f t="shared" si="6"/>
        <v>2328666.66</v>
      </c>
      <c r="O17" s="22">
        <f t="shared" si="6"/>
        <v>2187000</v>
      </c>
      <c r="P17" s="23">
        <f t="shared" si="5"/>
        <v>32875518.800000001</v>
      </c>
    </row>
    <row r="18" spans="2:17" s="26" customFormat="1" x14ac:dyDescent="0.25">
      <c r="B18" s="24" t="s">
        <v>88</v>
      </c>
      <c r="C18" s="24" t="s">
        <v>89</v>
      </c>
      <c r="D18" s="25">
        <v>3102083.33</v>
      </c>
      <c r="E18" s="25">
        <v>3208800</v>
      </c>
      <c r="F18" s="25">
        <v>2967250</v>
      </c>
      <c r="G18" s="25">
        <v>3177583.33</v>
      </c>
      <c r="H18" s="25">
        <v>2971316.66</v>
      </c>
      <c r="I18" s="25">
        <v>2595750</v>
      </c>
      <c r="J18" s="25">
        <v>2630750</v>
      </c>
      <c r="K18" s="25">
        <v>2634318.8199999998</v>
      </c>
      <c r="L18" s="25">
        <v>2536250</v>
      </c>
      <c r="M18" s="25">
        <v>2535750</v>
      </c>
      <c r="N18" s="25">
        <v>2328666.66</v>
      </c>
      <c r="O18" s="25">
        <v>2187000</v>
      </c>
      <c r="P18" s="25">
        <f t="shared" si="5"/>
        <v>32875518.800000001</v>
      </c>
    </row>
    <row r="19" spans="2:17" x14ac:dyDescent="0.25">
      <c r="B19" s="21" t="s">
        <v>90</v>
      </c>
      <c r="C19" s="21" t="s">
        <v>91</v>
      </c>
      <c r="D19" s="36">
        <f>SUM(D20:D26)</f>
        <v>1532000</v>
      </c>
      <c r="E19" s="36">
        <f t="shared" ref="E19:O19" si="7">SUM(E20:E26)</f>
        <v>2168666.67</v>
      </c>
      <c r="F19" s="36">
        <f t="shared" si="7"/>
        <v>2538667.17</v>
      </c>
      <c r="G19" s="36">
        <f t="shared" si="7"/>
        <v>2150166.67</v>
      </c>
      <c r="H19" s="36">
        <f t="shared" si="7"/>
        <v>2622466.67</v>
      </c>
      <c r="I19" s="36">
        <f t="shared" si="7"/>
        <v>3011000</v>
      </c>
      <c r="J19" s="36">
        <f t="shared" si="7"/>
        <v>2661832.83</v>
      </c>
      <c r="K19" s="36">
        <f t="shared" si="7"/>
        <v>3115500</v>
      </c>
      <c r="L19" s="36">
        <f t="shared" si="7"/>
        <v>2845500</v>
      </c>
      <c r="M19" s="36">
        <f t="shared" si="7"/>
        <v>2995500</v>
      </c>
      <c r="N19" s="36">
        <f t="shared" si="7"/>
        <v>3039000</v>
      </c>
      <c r="O19" s="36">
        <f t="shared" si="7"/>
        <v>3254000</v>
      </c>
      <c r="P19" s="23">
        <f t="shared" si="5"/>
        <v>31934300.009999998</v>
      </c>
    </row>
    <row r="20" spans="2:17" s="26" customFormat="1" x14ac:dyDescent="0.25">
      <c r="B20" s="24" t="s">
        <v>92</v>
      </c>
      <c r="C20" s="24" t="s">
        <v>93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/>
      <c r="K20" s="25"/>
      <c r="L20" s="25"/>
      <c r="M20" s="25"/>
      <c r="N20" s="25"/>
      <c r="O20" s="25"/>
      <c r="P20" s="27">
        <f>SUM(D20:O20)</f>
        <v>0</v>
      </c>
    </row>
    <row r="21" spans="2:17" s="26" customFormat="1" x14ac:dyDescent="0.25">
      <c r="B21" s="24" t="s">
        <v>94</v>
      </c>
      <c r="C21" s="24" t="s">
        <v>95</v>
      </c>
      <c r="D21" s="25">
        <v>0</v>
      </c>
      <c r="E21" s="25">
        <v>0</v>
      </c>
      <c r="F21" s="25">
        <v>27500</v>
      </c>
      <c r="G21" s="25">
        <v>27500</v>
      </c>
      <c r="H21" s="25">
        <v>0</v>
      </c>
      <c r="I21" s="25">
        <v>0</v>
      </c>
      <c r="J21" s="25"/>
      <c r="K21" s="25"/>
      <c r="L21" s="25"/>
      <c r="M21" s="25"/>
      <c r="N21" s="25"/>
      <c r="O21" s="25"/>
      <c r="P21" s="28">
        <f t="shared" si="5"/>
        <v>55000</v>
      </c>
    </row>
    <row r="22" spans="2:17" s="26" customFormat="1" x14ac:dyDescent="0.25">
      <c r="B22" s="24" t="s">
        <v>96</v>
      </c>
      <c r="C22" s="24" t="s">
        <v>97</v>
      </c>
      <c r="D22" s="25">
        <v>180000</v>
      </c>
      <c r="E22" s="25">
        <v>180000</v>
      </c>
      <c r="F22" s="25">
        <v>180000</v>
      </c>
      <c r="G22" s="25">
        <v>180000</v>
      </c>
      <c r="H22" s="25">
        <v>180000</v>
      </c>
      <c r="I22" s="25">
        <v>120000</v>
      </c>
      <c r="J22" s="25">
        <v>120000</v>
      </c>
      <c r="K22" s="25">
        <v>120000</v>
      </c>
      <c r="L22" s="25">
        <v>120000</v>
      </c>
      <c r="M22" s="25">
        <v>120000</v>
      </c>
      <c r="N22" s="25">
        <v>120000</v>
      </c>
      <c r="O22" s="25">
        <v>120000</v>
      </c>
      <c r="P22" s="28">
        <f t="shared" si="5"/>
        <v>1740000</v>
      </c>
    </row>
    <row r="23" spans="2:17" s="26" customFormat="1" x14ac:dyDescent="0.25">
      <c r="B23" s="24" t="s">
        <v>98</v>
      </c>
      <c r="C23" s="24" t="s">
        <v>99</v>
      </c>
      <c r="D23" s="25">
        <v>1352000</v>
      </c>
      <c r="E23" s="25">
        <v>1988666.67</v>
      </c>
      <c r="F23" s="25">
        <v>2331167.17</v>
      </c>
      <c r="G23" s="25">
        <v>1942666.67</v>
      </c>
      <c r="H23" s="25">
        <v>1802466.67</v>
      </c>
      <c r="I23" s="25">
        <v>1763000</v>
      </c>
      <c r="J23" s="25">
        <v>2056832.83</v>
      </c>
      <c r="K23" s="25">
        <v>2543000</v>
      </c>
      <c r="L23" s="25">
        <v>2298000</v>
      </c>
      <c r="M23" s="25">
        <v>2448000</v>
      </c>
      <c r="N23" s="25">
        <v>2599000</v>
      </c>
      <c r="O23" s="25">
        <v>2599000</v>
      </c>
      <c r="P23" s="28">
        <f t="shared" si="5"/>
        <v>25723800.009999998</v>
      </c>
      <c r="Q23" s="29"/>
    </row>
    <row r="24" spans="2:17" s="26" customFormat="1" x14ac:dyDescent="0.25">
      <c r="B24" s="24" t="s">
        <v>527</v>
      </c>
      <c r="C24" s="24" t="s">
        <v>528</v>
      </c>
      <c r="D24" s="25">
        <v>0</v>
      </c>
      <c r="E24" s="25">
        <v>0</v>
      </c>
      <c r="F24" s="25">
        <v>0</v>
      </c>
      <c r="G24" s="25">
        <v>0</v>
      </c>
      <c r="H24" s="25">
        <v>640000</v>
      </c>
      <c r="I24" s="25">
        <v>963000</v>
      </c>
      <c r="J24" s="25">
        <v>320000</v>
      </c>
      <c r="K24" s="25">
        <v>320000</v>
      </c>
      <c r="L24" s="25">
        <v>320000</v>
      </c>
      <c r="M24" s="25">
        <v>320000</v>
      </c>
      <c r="N24" s="25">
        <v>320000</v>
      </c>
      <c r="O24" s="25">
        <v>320000</v>
      </c>
      <c r="P24" s="28">
        <f t="shared" si="5"/>
        <v>3523000</v>
      </c>
      <c r="Q24" s="29"/>
    </row>
    <row r="25" spans="2:17" s="26" customFormat="1" x14ac:dyDescent="0.25">
      <c r="B25" s="24" t="s">
        <v>628</v>
      </c>
      <c r="C25" s="24" t="s">
        <v>629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/>
      <c r="N25" s="25"/>
      <c r="O25" s="25"/>
      <c r="P25" s="28">
        <f t="shared" si="5"/>
        <v>0</v>
      </c>
      <c r="Q25" s="29"/>
    </row>
    <row r="26" spans="2:17" s="26" customFormat="1" x14ac:dyDescent="0.25">
      <c r="B26" s="24" t="s">
        <v>539</v>
      </c>
      <c r="C26" s="24" t="s">
        <v>540</v>
      </c>
      <c r="D26" s="25">
        <v>0</v>
      </c>
      <c r="E26" s="25">
        <v>0</v>
      </c>
      <c r="F26" s="25">
        <v>0</v>
      </c>
      <c r="G26" s="25">
        <v>0</v>
      </c>
      <c r="H26" s="25"/>
      <c r="I26" s="25">
        <v>165000</v>
      </c>
      <c r="J26" s="25">
        <v>165000</v>
      </c>
      <c r="K26" s="25">
        <v>132500</v>
      </c>
      <c r="L26" s="25">
        <v>107500</v>
      </c>
      <c r="M26" s="25">
        <v>107500</v>
      </c>
      <c r="N26" s="25">
        <v>0</v>
      </c>
      <c r="O26" s="25">
        <v>215000</v>
      </c>
      <c r="P26" s="28">
        <f t="shared" si="5"/>
        <v>892500</v>
      </c>
      <c r="Q26" s="29"/>
    </row>
    <row r="27" spans="2:17" x14ac:dyDescent="0.25">
      <c r="B27" s="21" t="s">
        <v>100</v>
      </c>
      <c r="C27" s="21" t="s">
        <v>101</v>
      </c>
      <c r="D27" s="36">
        <f>SUM(D28)</f>
        <v>0</v>
      </c>
      <c r="E27" s="36">
        <f t="shared" ref="E27:O27" si="8">SUM(E28)</f>
        <v>0</v>
      </c>
      <c r="F27" s="22">
        <f t="shared" si="8"/>
        <v>0</v>
      </c>
      <c r="G27" s="22">
        <f t="shared" si="8"/>
        <v>0</v>
      </c>
      <c r="H27" s="22">
        <f t="shared" si="8"/>
        <v>0</v>
      </c>
      <c r="I27" s="22">
        <f t="shared" si="8"/>
        <v>0</v>
      </c>
      <c r="J27" s="22">
        <f t="shared" si="8"/>
        <v>0</v>
      </c>
      <c r="K27" s="22">
        <f t="shared" si="8"/>
        <v>0</v>
      </c>
      <c r="L27" s="22">
        <f t="shared" si="8"/>
        <v>0</v>
      </c>
      <c r="M27" s="22">
        <f t="shared" si="8"/>
        <v>0</v>
      </c>
      <c r="N27" s="22">
        <f t="shared" si="8"/>
        <v>0</v>
      </c>
      <c r="O27" s="22">
        <f t="shared" si="8"/>
        <v>0</v>
      </c>
      <c r="P27" s="22">
        <f t="shared" si="5"/>
        <v>0</v>
      </c>
    </row>
    <row r="28" spans="2:17" s="30" customFormat="1" x14ac:dyDescent="0.25">
      <c r="B28" s="24" t="s">
        <v>102</v>
      </c>
      <c r="C28" s="24" t="s">
        <v>101</v>
      </c>
      <c r="D28" s="25">
        <v>0</v>
      </c>
      <c r="E28" s="25">
        <v>0</v>
      </c>
      <c r="F28" s="25">
        <v>0</v>
      </c>
      <c r="G28" s="25">
        <v>0</v>
      </c>
      <c r="H28" s="25"/>
      <c r="I28" s="25"/>
      <c r="J28" s="25"/>
      <c r="K28" s="25"/>
      <c r="L28" s="25"/>
      <c r="M28" s="25"/>
      <c r="N28" s="25"/>
      <c r="O28" s="25"/>
      <c r="P28" s="28">
        <f t="shared" si="5"/>
        <v>0</v>
      </c>
    </row>
    <row r="29" spans="2:17" x14ac:dyDescent="0.25">
      <c r="B29" s="21" t="s">
        <v>103</v>
      </c>
      <c r="C29" s="21" t="s">
        <v>104</v>
      </c>
      <c r="D29" s="22">
        <f>SUM(D30)</f>
        <v>0</v>
      </c>
      <c r="E29" s="22">
        <f t="shared" ref="E29:O29" si="9">SUM(E30)</f>
        <v>0</v>
      </c>
      <c r="F29" s="22">
        <f t="shared" si="9"/>
        <v>0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  <c r="K29" s="22">
        <f t="shared" si="9"/>
        <v>0</v>
      </c>
      <c r="L29" s="22">
        <f t="shared" si="9"/>
        <v>0</v>
      </c>
      <c r="M29" s="22">
        <f t="shared" si="9"/>
        <v>0</v>
      </c>
      <c r="N29" s="22">
        <f t="shared" si="9"/>
        <v>0</v>
      </c>
      <c r="O29" s="22">
        <f t="shared" si="9"/>
        <v>5404527.8099999996</v>
      </c>
      <c r="P29" s="23">
        <f t="shared" si="5"/>
        <v>5404527.8099999996</v>
      </c>
    </row>
    <row r="30" spans="2:17" s="26" customFormat="1" x14ac:dyDescent="0.25">
      <c r="B30" s="24" t="s">
        <v>105</v>
      </c>
      <c r="C30" s="24" t="s">
        <v>106</v>
      </c>
      <c r="D30" s="25">
        <v>0</v>
      </c>
      <c r="E30" s="25">
        <v>0</v>
      </c>
      <c r="F30" s="25">
        <v>0</v>
      </c>
      <c r="G30" s="25">
        <v>0</v>
      </c>
      <c r="H30" s="25"/>
      <c r="I30" s="25"/>
      <c r="J30" s="25"/>
      <c r="K30" s="25"/>
      <c r="L30" s="25"/>
      <c r="M30" s="25"/>
      <c r="N30" s="25"/>
      <c r="O30" s="25">
        <v>5404527.8099999996</v>
      </c>
      <c r="P30" s="28">
        <f t="shared" si="5"/>
        <v>5404527.8099999996</v>
      </c>
    </row>
    <row r="31" spans="2:17" x14ac:dyDescent="0.25">
      <c r="B31" s="21" t="s">
        <v>107</v>
      </c>
      <c r="C31" s="21" t="s">
        <v>108</v>
      </c>
      <c r="D31" s="22">
        <f>SUM(D33)</f>
        <v>0</v>
      </c>
      <c r="E31" s="22">
        <f t="shared" ref="E31:N31" si="10">SUM(E33)</f>
        <v>0</v>
      </c>
      <c r="F31" s="22">
        <f t="shared" si="10"/>
        <v>1070143.06</v>
      </c>
      <c r="G31" s="22">
        <f t="shared" si="10"/>
        <v>550992.16</v>
      </c>
      <c r="H31" s="22">
        <f t="shared" si="10"/>
        <v>0</v>
      </c>
      <c r="I31" s="22">
        <f>+I32+I33</f>
        <v>1217471.26</v>
      </c>
      <c r="J31" s="22">
        <f>+J32+J33</f>
        <v>1351471.1600000001</v>
      </c>
      <c r="K31" s="22">
        <f t="shared" si="10"/>
        <v>94831.57</v>
      </c>
      <c r="L31" s="22">
        <f t="shared" si="10"/>
        <v>0</v>
      </c>
      <c r="M31" s="22">
        <f t="shared" si="10"/>
        <v>69220.12</v>
      </c>
      <c r="N31" s="22">
        <f t="shared" si="10"/>
        <v>0</v>
      </c>
      <c r="O31" s="22">
        <f>+O32+O33</f>
        <v>1449602.5699999998</v>
      </c>
      <c r="P31" s="22">
        <f t="shared" si="5"/>
        <v>5803731.9000000004</v>
      </c>
    </row>
    <row r="32" spans="2:17" x14ac:dyDescent="0.25">
      <c r="B32" s="201" t="s">
        <v>590</v>
      </c>
      <c r="C32" s="201" t="s">
        <v>593</v>
      </c>
      <c r="D32" s="22"/>
      <c r="E32" s="22"/>
      <c r="F32" s="22"/>
      <c r="G32" s="22"/>
      <c r="H32" s="22"/>
      <c r="I32" s="25">
        <v>255750</v>
      </c>
      <c r="J32" s="25">
        <v>414000</v>
      </c>
      <c r="K32" s="22">
        <v>0</v>
      </c>
      <c r="L32" s="22">
        <v>0</v>
      </c>
      <c r="M32" s="22">
        <v>0</v>
      </c>
      <c r="N32" s="22">
        <v>0</v>
      </c>
      <c r="O32" s="25">
        <v>866250</v>
      </c>
      <c r="P32" s="25">
        <v>866250</v>
      </c>
    </row>
    <row r="33" spans="2:17" x14ac:dyDescent="0.25">
      <c r="B33" s="31" t="s">
        <v>109</v>
      </c>
      <c r="C33" s="31" t="s">
        <v>110</v>
      </c>
      <c r="D33" s="25">
        <v>0</v>
      </c>
      <c r="E33" s="25">
        <v>0</v>
      </c>
      <c r="F33" s="25">
        <v>1070143.06</v>
      </c>
      <c r="G33" s="25">
        <v>550992.16</v>
      </c>
      <c r="H33" s="25">
        <v>0</v>
      </c>
      <c r="I33" s="25">
        <v>961721.26</v>
      </c>
      <c r="J33" s="25">
        <v>937471.16</v>
      </c>
      <c r="K33" s="25">
        <v>94831.57</v>
      </c>
      <c r="L33" s="25"/>
      <c r="M33" s="25">
        <v>69220.12</v>
      </c>
      <c r="N33" s="25">
        <v>0</v>
      </c>
      <c r="O33" s="25">
        <v>583352.56999999995</v>
      </c>
      <c r="P33" s="33">
        <f t="shared" si="5"/>
        <v>4267731.9000000004</v>
      </c>
    </row>
    <row r="34" spans="2:17" x14ac:dyDescent="0.25">
      <c r="B34" s="34" t="s">
        <v>6</v>
      </c>
      <c r="C34" s="35" t="s">
        <v>111</v>
      </c>
      <c r="D34" s="36">
        <f>+D35</f>
        <v>0</v>
      </c>
      <c r="E34" s="36">
        <f t="shared" ref="E34:O34" si="11">+E35</f>
        <v>1333500</v>
      </c>
      <c r="F34" s="36">
        <f t="shared" si="11"/>
        <v>697833.33</v>
      </c>
      <c r="G34" s="36">
        <f t="shared" si="11"/>
        <v>686000</v>
      </c>
      <c r="H34" s="36">
        <f t="shared" si="11"/>
        <v>996000</v>
      </c>
      <c r="I34" s="36">
        <f t="shared" si="11"/>
        <v>5102833.3500000006</v>
      </c>
      <c r="J34" s="36">
        <f t="shared" si="11"/>
        <v>322180.14</v>
      </c>
      <c r="K34" s="36">
        <f t="shared" si="11"/>
        <v>413819.86</v>
      </c>
      <c r="L34" s="36">
        <f t="shared" si="11"/>
        <v>443800</v>
      </c>
      <c r="M34" s="36">
        <f t="shared" si="11"/>
        <v>399000</v>
      </c>
      <c r="N34" s="36">
        <f t="shared" si="11"/>
        <v>5740604.1299999999</v>
      </c>
      <c r="O34" s="36">
        <f t="shared" si="11"/>
        <v>14285122.220000001</v>
      </c>
      <c r="P34" s="37">
        <f t="shared" si="5"/>
        <v>30420693.030000001</v>
      </c>
    </row>
    <row r="35" spans="2:17" x14ac:dyDescent="0.25">
      <c r="B35" s="21" t="s">
        <v>112</v>
      </c>
      <c r="C35" s="21" t="s">
        <v>113</v>
      </c>
      <c r="D35" s="22">
        <f>SUM(D37:D40)</f>
        <v>0</v>
      </c>
      <c r="E35" s="22">
        <f t="shared" ref="E35:N35" si="12">SUM(E37:E40)</f>
        <v>1333500</v>
      </c>
      <c r="F35" s="22">
        <f t="shared" si="12"/>
        <v>697833.33</v>
      </c>
      <c r="G35" s="22">
        <f t="shared" ref="G35" si="13">SUM(G37:G40)</f>
        <v>686000</v>
      </c>
      <c r="H35" s="22">
        <f t="shared" si="12"/>
        <v>996000</v>
      </c>
      <c r="I35" s="22">
        <f t="shared" si="12"/>
        <v>5102833.3500000006</v>
      </c>
      <c r="J35" s="22">
        <f t="shared" si="12"/>
        <v>322180.14</v>
      </c>
      <c r="K35" s="22">
        <f t="shared" si="12"/>
        <v>413819.86</v>
      </c>
      <c r="L35" s="22">
        <f t="shared" si="12"/>
        <v>443800</v>
      </c>
      <c r="M35" s="22">
        <f t="shared" si="12"/>
        <v>399000</v>
      </c>
      <c r="N35" s="22">
        <f t="shared" si="12"/>
        <v>5740604.1299999999</v>
      </c>
      <c r="O35" s="22">
        <f>+O36+O37+O40+O41</f>
        <v>14285122.220000001</v>
      </c>
      <c r="P35" s="23">
        <f t="shared" si="5"/>
        <v>30420693.030000001</v>
      </c>
    </row>
    <row r="36" spans="2:17" x14ac:dyDescent="0.25">
      <c r="B36" s="31" t="s">
        <v>648</v>
      </c>
      <c r="C36" s="31" t="s">
        <v>649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5">
        <v>478000</v>
      </c>
      <c r="P36" s="25">
        <v>478000</v>
      </c>
    </row>
    <row r="37" spans="2:17" x14ac:dyDescent="0.25">
      <c r="B37" s="31" t="s">
        <v>114</v>
      </c>
      <c r="C37" s="31" t="s">
        <v>115</v>
      </c>
      <c r="D37" s="25">
        <v>0</v>
      </c>
      <c r="E37" s="25">
        <v>1333500</v>
      </c>
      <c r="F37" s="25">
        <v>697833.33</v>
      </c>
      <c r="G37" s="25">
        <v>686000</v>
      </c>
      <c r="H37" s="25">
        <v>0</v>
      </c>
      <c r="I37" s="25">
        <v>849666.67</v>
      </c>
      <c r="J37" s="25">
        <v>375000</v>
      </c>
      <c r="K37" s="25">
        <v>361000</v>
      </c>
      <c r="L37" s="25">
        <v>383800</v>
      </c>
      <c r="M37" s="25">
        <v>399000</v>
      </c>
      <c r="N37" s="25">
        <v>405000</v>
      </c>
      <c r="O37" s="25">
        <v>451000</v>
      </c>
      <c r="P37" s="33">
        <f t="shared" si="5"/>
        <v>5941800</v>
      </c>
    </row>
    <row r="38" spans="2:17" x14ac:dyDescent="0.25">
      <c r="B38" s="201" t="s">
        <v>410</v>
      </c>
      <c r="C38" s="31" t="s">
        <v>594</v>
      </c>
      <c r="D38" s="25"/>
      <c r="E38" s="25"/>
      <c r="F38" s="25"/>
      <c r="G38" s="25"/>
      <c r="H38" s="25"/>
      <c r="I38" s="25">
        <v>4188166.68</v>
      </c>
      <c r="J38" s="25">
        <v>-52819.86</v>
      </c>
      <c r="K38" s="25">
        <v>52819.86</v>
      </c>
      <c r="L38" s="25">
        <v>60000</v>
      </c>
      <c r="M38" s="25"/>
      <c r="N38" s="25"/>
      <c r="O38" s="25"/>
      <c r="P38" s="33">
        <f t="shared" si="5"/>
        <v>4248166.68</v>
      </c>
    </row>
    <row r="39" spans="2:17" x14ac:dyDescent="0.25">
      <c r="B39" s="31" t="s">
        <v>559</v>
      </c>
      <c r="C39" s="31" t="s">
        <v>560</v>
      </c>
      <c r="D39" s="25"/>
      <c r="E39" s="25"/>
      <c r="F39" s="25"/>
      <c r="G39" s="25"/>
      <c r="H39" s="25">
        <v>996000</v>
      </c>
      <c r="I39" s="25">
        <v>65000</v>
      </c>
      <c r="J39" s="25"/>
      <c r="K39" s="25"/>
      <c r="L39" s="25"/>
      <c r="M39" s="25"/>
      <c r="N39" s="25"/>
      <c r="O39" s="25"/>
      <c r="P39" s="33">
        <f t="shared" si="5"/>
        <v>1061000</v>
      </c>
    </row>
    <row r="40" spans="2:17" x14ac:dyDescent="0.25">
      <c r="B40" s="31" t="s">
        <v>116</v>
      </c>
      <c r="C40" s="31" t="s">
        <v>117</v>
      </c>
      <c r="D40" s="25">
        <v>0</v>
      </c>
      <c r="E40" s="25">
        <v>0</v>
      </c>
      <c r="F40" s="25">
        <v>0</v>
      </c>
      <c r="G40" s="25">
        <v>0</v>
      </c>
      <c r="H40" s="25"/>
      <c r="I40" s="25">
        <v>0</v>
      </c>
      <c r="J40" s="25"/>
      <c r="K40" s="25"/>
      <c r="L40" s="25"/>
      <c r="M40" s="25"/>
      <c r="N40" s="25">
        <v>5335604.13</v>
      </c>
      <c r="O40" s="25">
        <v>78872.22</v>
      </c>
      <c r="P40" s="33">
        <f t="shared" si="5"/>
        <v>5414476.3499999996</v>
      </c>
    </row>
    <row r="41" spans="2:17" x14ac:dyDescent="0.25">
      <c r="B41" s="31" t="s">
        <v>416</v>
      </c>
      <c r="C41" s="31" t="s">
        <v>650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>
        <v>13277250</v>
      </c>
      <c r="P41" s="33"/>
    </row>
    <row r="42" spans="2:17" x14ac:dyDescent="0.25">
      <c r="B42" s="21" t="s">
        <v>8</v>
      </c>
      <c r="C42" s="21" t="s">
        <v>118</v>
      </c>
      <c r="D42" s="22">
        <f>+D44</f>
        <v>0</v>
      </c>
      <c r="E42" s="22">
        <f t="shared" ref="E42:O42" si="14">+E44</f>
        <v>0</v>
      </c>
      <c r="F42" s="22">
        <f t="shared" si="14"/>
        <v>0</v>
      </c>
      <c r="G42" s="22">
        <f t="shared" ref="G42" si="15">+G44</f>
        <v>0</v>
      </c>
      <c r="H42" s="22">
        <f t="shared" si="14"/>
        <v>0</v>
      </c>
      <c r="I42" s="22">
        <f t="shared" si="14"/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22">
        <f t="shared" si="14"/>
        <v>0</v>
      </c>
      <c r="P42" s="33">
        <f t="shared" si="5"/>
        <v>0</v>
      </c>
    </row>
    <row r="43" spans="2:17" x14ac:dyDescent="0.25">
      <c r="B43" s="21" t="s">
        <v>119</v>
      </c>
      <c r="C43" s="21" t="s">
        <v>120</v>
      </c>
      <c r="D43" s="22">
        <f>+D44</f>
        <v>0</v>
      </c>
      <c r="E43" s="22">
        <f t="shared" ref="E43:O43" si="16">+E44</f>
        <v>0</v>
      </c>
      <c r="F43" s="22">
        <f t="shared" si="16"/>
        <v>0</v>
      </c>
      <c r="G43" s="22">
        <f t="shared" si="16"/>
        <v>0</v>
      </c>
      <c r="H43" s="22">
        <f t="shared" si="16"/>
        <v>0</v>
      </c>
      <c r="I43" s="22">
        <f t="shared" si="16"/>
        <v>0</v>
      </c>
      <c r="J43" s="22">
        <f t="shared" si="16"/>
        <v>0</v>
      </c>
      <c r="K43" s="22">
        <f t="shared" si="16"/>
        <v>0</v>
      </c>
      <c r="L43" s="22">
        <f t="shared" si="16"/>
        <v>0</v>
      </c>
      <c r="M43" s="22">
        <f t="shared" si="16"/>
        <v>0</v>
      </c>
      <c r="N43" s="22">
        <f t="shared" si="16"/>
        <v>0</v>
      </c>
      <c r="O43" s="22">
        <f t="shared" si="16"/>
        <v>0</v>
      </c>
      <c r="P43" s="23">
        <f t="shared" si="5"/>
        <v>0</v>
      </c>
    </row>
    <row r="44" spans="2:17" x14ac:dyDescent="0.25">
      <c r="B44" s="31" t="s">
        <v>121</v>
      </c>
      <c r="C44" s="31" t="s">
        <v>122</v>
      </c>
      <c r="D44" s="25">
        <v>0</v>
      </c>
      <c r="E44" s="25">
        <v>0</v>
      </c>
      <c r="F44" s="25">
        <v>0</v>
      </c>
      <c r="G44" s="25">
        <v>0</v>
      </c>
      <c r="H44" s="25"/>
      <c r="I44" s="25">
        <v>0</v>
      </c>
      <c r="J44" s="25"/>
      <c r="K44" s="25"/>
      <c r="L44" s="25"/>
      <c r="M44" s="25"/>
      <c r="N44" s="25"/>
      <c r="O44" s="25"/>
      <c r="P44" s="33">
        <f t="shared" si="5"/>
        <v>0</v>
      </c>
    </row>
    <row r="45" spans="2:17" ht="16.5" customHeight="1" x14ac:dyDescent="0.25">
      <c r="B45" s="34" t="s">
        <v>10</v>
      </c>
      <c r="C45" s="38" t="s">
        <v>123</v>
      </c>
      <c r="D45" s="22">
        <f>+D46</f>
        <v>0</v>
      </c>
      <c r="E45" s="22">
        <f t="shared" ref="E45:O45" si="17">+E46</f>
        <v>0</v>
      </c>
      <c r="F45" s="22">
        <f t="shared" si="17"/>
        <v>0</v>
      </c>
      <c r="G45" s="22">
        <f t="shared" si="17"/>
        <v>0</v>
      </c>
      <c r="H45" s="22">
        <f t="shared" si="17"/>
        <v>0</v>
      </c>
      <c r="I45" s="22">
        <f t="shared" si="17"/>
        <v>0</v>
      </c>
      <c r="J45" s="22">
        <f t="shared" si="17"/>
        <v>0</v>
      </c>
      <c r="K45" s="22">
        <f t="shared" si="17"/>
        <v>0</v>
      </c>
      <c r="L45" s="22">
        <f t="shared" si="17"/>
        <v>0</v>
      </c>
      <c r="M45" s="22">
        <f t="shared" si="17"/>
        <v>0</v>
      </c>
      <c r="N45" s="22">
        <f t="shared" si="17"/>
        <v>0</v>
      </c>
      <c r="O45" s="22">
        <f t="shared" si="17"/>
        <v>0</v>
      </c>
      <c r="P45" s="37">
        <f t="shared" si="5"/>
        <v>0</v>
      </c>
    </row>
    <row r="46" spans="2:17" x14ac:dyDescent="0.25">
      <c r="B46" s="31" t="s">
        <v>124</v>
      </c>
      <c r="C46" s="31" t="s">
        <v>125</v>
      </c>
      <c r="D46" s="25">
        <v>0</v>
      </c>
      <c r="E46" s="25">
        <v>0</v>
      </c>
      <c r="F46" s="25">
        <v>0</v>
      </c>
      <c r="G46" s="25">
        <v>0</v>
      </c>
      <c r="H46" s="25"/>
      <c r="I46" s="25"/>
      <c r="J46" s="25"/>
      <c r="K46" s="25"/>
      <c r="L46" s="25"/>
      <c r="M46" s="25"/>
      <c r="N46" s="25"/>
      <c r="O46" s="25"/>
      <c r="P46" s="39">
        <f t="shared" si="5"/>
        <v>0</v>
      </c>
    </row>
    <row r="47" spans="2:17" ht="14.25" customHeight="1" x14ac:dyDescent="0.25">
      <c r="B47" s="40" t="s">
        <v>12</v>
      </c>
      <c r="C47" s="40" t="s">
        <v>126</v>
      </c>
      <c r="D47" s="41">
        <f>+D48+D50+D52</f>
        <v>681606.22000000009</v>
      </c>
      <c r="E47" s="41">
        <f t="shared" ref="E47:N47" si="18">+E48+E50+E52</f>
        <v>793011.65</v>
      </c>
      <c r="F47" s="41">
        <f t="shared" si="18"/>
        <v>801609.5</v>
      </c>
      <c r="G47" s="41">
        <f t="shared" ref="G47" si="19">+G48+G50+G52</f>
        <v>782111.92</v>
      </c>
      <c r="H47" s="41">
        <f t="shared" si="18"/>
        <v>728071.08</v>
      </c>
      <c r="I47" s="41">
        <f t="shared" si="18"/>
        <v>656963.9</v>
      </c>
      <c r="J47" s="41">
        <f t="shared" si="18"/>
        <v>710452.24</v>
      </c>
      <c r="K47" s="41">
        <f t="shared" si="18"/>
        <v>742906.37000000011</v>
      </c>
      <c r="L47" s="41">
        <f t="shared" si="18"/>
        <v>734544.63</v>
      </c>
      <c r="M47" s="41">
        <f t="shared" si="18"/>
        <v>756439.58</v>
      </c>
      <c r="N47" s="41">
        <f t="shared" si="18"/>
        <v>748319.84</v>
      </c>
      <c r="O47" s="41">
        <f>+O48+O50+O52</f>
        <v>726687.6</v>
      </c>
      <c r="P47" s="42">
        <f t="shared" si="5"/>
        <v>8862724.5300000012</v>
      </c>
      <c r="Q47" s="29"/>
    </row>
    <row r="48" spans="2:17" ht="14.25" customHeight="1" x14ac:dyDescent="0.25">
      <c r="B48" s="43" t="s">
        <v>127</v>
      </c>
      <c r="C48" s="43" t="s">
        <v>128</v>
      </c>
      <c r="D48" s="44">
        <f>+D49</f>
        <v>314996.21000000002</v>
      </c>
      <c r="E48" s="44">
        <f t="shared" ref="E48:O48" si="20">+E49</f>
        <v>368575.58</v>
      </c>
      <c r="F48" s="44">
        <f t="shared" si="20"/>
        <v>371902.44</v>
      </c>
      <c r="G48" s="44">
        <f t="shared" si="20"/>
        <v>362556.4</v>
      </c>
      <c r="H48" s="44">
        <f t="shared" si="20"/>
        <v>338181.91</v>
      </c>
      <c r="I48" s="44">
        <f t="shared" si="20"/>
        <v>304869.31</v>
      </c>
      <c r="J48" s="44">
        <f t="shared" si="20"/>
        <v>329329.81</v>
      </c>
      <c r="K48" s="44">
        <f t="shared" si="20"/>
        <v>341991.12</v>
      </c>
      <c r="L48" s="44">
        <f t="shared" si="20"/>
        <v>342535.63</v>
      </c>
      <c r="M48" s="44">
        <f t="shared" si="20"/>
        <v>353135.18</v>
      </c>
      <c r="N48" s="44">
        <f t="shared" si="20"/>
        <v>349158.86</v>
      </c>
      <c r="O48" s="44">
        <f t="shared" si="20"/>
        <v>339114.7</v>
      </c>
      <c r="P48" s="45">
        <f t="shared" si="5"/>
        <v>4116347.15</v>
      </c>
    </row>
    <row r="49" spans="2:21" x14ac:dyDescent="0.25">
      <c r="B49" s="31" t="s">
        <v>129</v>
      </c>
      <c r="C49" s="31" t="s">
        <v>130</v>
      </c>
      <c r="D49" s="25">
        <v>314996.21000000002</v>
      </c>
      <c r="E49" s="25">
        <v>368575.58</v>
      </c>
      <c r="F49" s="25">
        <v>371902.44</v>
      </c>
      <c r="G49" s="25">
        <v>362556.4</v>
      </c>
      <c r="H49" s="25">
        <v>338181.91</v>
      </c>
      <c r="I49" s="25">
        <v>304869.31</v>
      </c>
      <c r="J49" s="25">
        <v>329329.81</v>
      </c>
      <c r="K49" s="25">
        <v>341991.12</v>
      </c>
      <c r="L49" s="25">
        <v>342535.63</v>
      </c>
      <c r="M49" s="25">
        <v>353135.18</v>
      </c>
      <c r="N49" s="25">
        <v>349158.86</v>
      </c>
      <c r="O49" s="25">
        <v>339114.7</v>
      </c>
      <c r="P49" s="33">
        <f t="shared" si="5"/>
        <v>4116347.15</v>
      </c>
    </row>
    <row r="50" spans="2:21" x14ac:dyDescent="0.25">
      <c r="B50" s="43" t="s">
        <v>131</v>
      </c>
      <c r="C50" s="43" t="s">
        <v>132</v>
      </c>
      <c r="D50" s="44">
        <f>+D51</f>
        <v>328994.36</v>
      </c>
      <c r="E50" s="99">
        <v>381774.57</v>
      </c>
      <c r="F50" s="44">
        <f t="shared" ref="F50:O50" si="21">+F51</f>
        <v>387971.69</v>
      </c>
      <c r="G50" s="44">
        <v>378244.69</v>
      </c>
      <c r="H50" s="44">
        <f t="shared" si="21"/>
        <v>351693.06</v>
      </c>
      <c r="I50" s="44">
        <f t="shared" si="21"/>
        <v>317965.69</v>
      </c>
      <c r="J50" s="44">
        <f t="shared" si="21"/>
        <v>344235.69</v>
      </c>
      <c r="K50" s="44">
        <f t="shared" si="21"/>
        <v>360778.69</v>
      </c>
      <c r="L50" s="44">
        <f t="shared" si="21"/>
        <v>351751.75</v>
      </c>
      <c r="M50" s="44">
        <f t="shared" si="21"/>
        <v>362366.25</v>
      </c>
      <c r="N50" s="44">
        <f t="shared" si="21"/>
        <v>358384.34</v>
      </c>
      <c r="O50" s="44">
        <f t="shared" si="21"/>
        <v>348326</v>
      </c>
      <c r="P50" s="45">
        <f t="shared" si="5"/>
        <v>4272486.7799999993</v>
      </c>
    </row>
    <row r="51" spans="2:21" x14ac:dyDescent="0.25">
      <c r="B51" s="31" t="s">
        <v>133</v>
      </c>
      <c r="C51" s="31" t="s">
        <v>132</v>
      </c>
      <c r="D51" s="25">
        <v>328994.36</v>
      </c>
      <c r="E51" s="25">
        <v>381774.57</v>
      </c>
      <c r="F51" s="25">
        <v>387971.69</v>
      </c>
      <c r="G51" s="25">
        <v>378244.69</v>
      </c>
      <c r="H51" s="25">
        <v>351693.06</v>
      </c>
      <c r="I51" s="25">
        <v>317965.69</v>
      </c>
      <c r="J51" s="25">
        <v>344235.69</v>
      </c>
      <c r="K51" s="25">
        <v>360778.69</v>
      </c>
      <c r="L51" s="25">
        <v>351751.75</v>
      </c>
      <c r="M51" s="25">
        <v>362366.25</v>
      </c>
      <c r="N51" s="25">
        <v>358384.34</v>
      </c>
      <c r="O51" s="25">
        <v>348326</v>
      </c>
      <c r="P51" s="33">
        <f t="shared" si="5"/>
        <v>4272486.7799999993</v>
      </c>
    </row>
    <row r="52" spans="2:21" x14ac:dyDescent="0.25">
      <c r="B52" s="43" t="s">
        <v>134</v>
      </c>
      <c r="C52" s="43" t="s">
        <v>135</v>
      </c>
      <c r="D52" s="44">
        <f>+D53</f>
        <v>37615.65</v>
      </c>
      <c r="E52" s="44">
        <f t="shared" ref="E52:O52" si="22">+E53</f>
        <v>42661.5</v>
      </c>
      <c r="F52" s="44">
        <f t="shared" si="22"/>
        <v>41735.370000000003</v>
      </c>
      <c r="G52" s="44">
        <f t="shared" si="22"/>
        <v>41310.83</v>
      </c>
      <c r="H52" s="44">
        <f t="shared" si="22"/>
        <v>38196.11</v>
      </c>
      <c r="I52" s="44">
        <f t="shared" si="22"/>
        <v>34128.9</v>
      </c>
      <c r="J52" s="44">
        <f t="shared" si="22"/>
        <v>36886.74</v>
      </c>
      <c r="K52" s="44">
        <f t="shared" si="22"/>
        <v>40136.559999999998</v>
      </c>
      <c r="L52" s="44">
        <f t="shared" si="22"/>
        <v>40257.25</v>
      </c>
      <c r="M52" s="44">
        <f t="shared" si="22"/>
        <v>40938.15</v>
      </c>
      <c r="N52" s="44">
        <f t="shared" si="22"/>
        <v>40776.639999999999</v>
      </c>
      <c r="O52" s="44">
        <f t="shared" si="22"/>
        <v>39246.9</v>
      </c>
      <c r="P52" s="45">
        <f t="shared" si="5"/>
        <v>473890.60000000003</v>
      </c>
    </row>
    <row r="53" spans="2:21" ht="15.75" thickBot="1" x14ac:dyDescent="0.3">
      <c r="B53" s="31" t="s">
        <v>136</v>
      </c>
      <c r="C53" s="31" t="s">
        <v>137</v>
      </c>
      <c r="D53" s="25">
        <v>37615.65</v>
      </c>
      <c r="E53" s="25">
        <v>42661.5</v>
      </c>
      <c r="F53" s="25">
        <v>41735.370000000003</v>
      </c>
      <c r="G53" s="25">
        <v>41310.83</v>
      </c>
      <c r="H53" s="25">
        <v>38196.11</v>
      </c>
      <c r="I53" s="25">
        <v>34128.9</v>
      </c>
      <c r="J53" s="25">
        <v>36886.74</v>
      </c>
      <c r="K53" s="25">
        <v>40136.559999999998</v>
      </c>
      <c r="L53" s="25">
        <v>40257.25</v>
      </c>
      <c r="M53" s="25">
        <v>40938.15</v>
      </c>
      <c r="N53" s="25">
        <v>40776.639999999999</v>
      </c>
      <c r="O53" s="25">
        <v>39246.9</v>
      </c>
      <c r="P53" s="33">
        <f t="shared" si="5"/>
        <v>473890.60000000003</v>
      </c>
    </row>
    <row r="54" spans="2:21" s="17" customFormat="1" x14ac:dyDescent="0.25">
      <c r="B54" s="14">
        <v>2.2000000000000002</v>
      </c>
      <c r="C54" s="15" t="s">
        <v>138</v>
      </c>
      <c r="D54" s="16">
        <f>+D55+D78+D92+D104+D122</f>
        <v>562091.84</v>
      </c>
      <c r="E54" s="16">
        <f>+E55+E68+E73+E78+E83+E92+E97+E104+E122</f>
        <v>1273674.8499999999</v>
      </c>
      <c r="F54" s="16">
        <f>+F55+F68+F73+F78+F83+F92+F97+F104+F122</f>
        <v>1619747.2600000002</v>
      </c>
      <c r="G54" s="16">
        <f>+G55+G68+G73+G78+G92+G97+G104+G122</f>
        <v>903473.47</v>
      </c>
      <c r="H54" s="16">
        <f>+H55+H68+H73+H78+H83+H92+H97+H104+H122</f>
        <v>4477589.3299999991</v>
      </c>
      <c r="I54" s="16">
        <f>+I55+I68+I73+I78+I83+I92+I97+I104+I122</f>
        <v>1616825.29</v>
      </c>
      <c r="J54" s="16">
        <f>+J55+J68+J73+J78+J83+J92+J97+J104+J122</f>
        <v>972068.48</v>
      </c>
      <c r="K54" s="16">
        <f>+K55+K68+K73+K78+K83+K92+K97+K104+K122</f>
        <v>1392295.27</v>
      </c>
      <c r="L54" s="16">
        <f>+L55+L68+L73+L78+L83+L92+L104+L97+L122</f>
        <v>3414341.78</v>
      </c>
      <c r="M54" s="16">
        <f>+M55+M68+M73+M78+M83+M92+M97+M104+M122</f>
        <v>1066217.45</v>
      </c>
      <c r="N54" s="16">
        <f>+N55+N68+N73+N78+N83+N92+N97+N104+N122</f>
        <v>1081133.95</v>
      </c>
      <c r="O54" s="16">
        <f>+O55+O68+O73+O78+O83+O92+O97+O104+O122</f>
        <v>22678868.969999999</v>
      </c>
      <c r="P54" s="16">
        <f t="shared" si="5"/>
        <v>41058327.939999998</v>
      </c>
      <c r="Q54" s="254"/>
      <c r="R54" s="49"/>
      <c r="S54" s="49"/>
      <c r="T54" s="49"/>
      <c r="U54" s="49"/>
    </row>
    <row r="55" spans="2:21" x14ac:dyDescent="0.25">
      <c r="B55" s="34" t="s">
        <v>15</v>
      </c>
      <c r="C55" s="35" t="s">
        <v>139</v>
      </c>
      <c r="D55" s="22">
        <f>+D56+D58+D60+D62+D64+D66</f>
        <v>361737.51</v>
      </c>
      <c r="E55" s="22">
        <f t="shared" ref="E55:N55" si="23">E56+E58+E60+E62+E64+E66</f>
        <v>328864.34999999998</v>
      </c>
      <c r="F55" s="22">
        <f t="shared" si="23"/>
        <v>432021.39</v>
      </c>
      <c r="G55" s="22">
        <f t="shared" ref="G55" si="24">G56+G58+G60+G62+G64+G66</f>
        <v>324167.7</v>
      </c>
      <c r="H55" s="22">
        <f t="shared" si="23"/>
        <v>450200.38</v>
      </c>
      <c r="I55" s="22">
        <f t="shared" si="23"/>
        <v>393401.86</v>
      </c>
      <c r="J55" s="22">
        <f t="shared" si="23"/>
        <v>360116.15</v>
      </c>
      <c r="K55" s="22">
        <f t="shared" si="23"/>
        <v>382901.4</v>
      </c>
      <c r="L55" s="22">
        <f t="shared" si="23"/>
        <v>381793.16000000003</v>
      </c>
      <c r="M55" s="22">
        <f t="shared" si="23"/>
        <v>384058.54000000004</v>
      </c>
      <c r="N55" s="22">
        <f t="shared" si="23"/>
        <v>188814.33999999997</v>
      </c>
      <c r="O55" s="22">
        <f>+O56+O58+O60+O62+O64+O66</f>
        <v>440246.25</v>
      </c>
      <c r="P55" s="37">
        <f t="shared" si="5"/>
        <v>4428323.0299999993</v>
      </c>
    </row>
    <row r="56" spans="2:21" x14ac:dyDescent="0.25">
      <c r="B56" s="21" t="s">
        <v>140</v>
      </c>
      <c r="C56" s="21" t="s">
        <v>141</v>
      </c>
      <c r="D56" s="22">
        <f>+D57</f>
        <v>107.9</v>
      </c>
      <c r="E56" s="22">
        <f t="shared" ref="E56:O56" si="25">+E57</f>
        <v>373.59</v>
      </c>
      <c r="F56" s="22">
        <f t="shared" si="25"/>
        <v>0</v>
      </c>
      <c r="G56" s="22">
        <f t="shared" si="25"/>
        <v>66.25</v>
      </c>
      <c r="H56" s="22">
        <f t="shared" si="25"/>
        <v>58.5</v>
      </c>
      <c r="I56" s="22">
        <f t="shared" si="25"/>
        <v>6.5</v>
      </c>
      <c r="J56" s="22">
        <f t="shared" si="25"/>
        <v>0</v>
      </c>
      <c r="K56" s="22">
        <f t="shared" si="25"/>
        <v>19.5</v>
      </c>
      <c r="L56" s="22">
        <f t="shared" si="25"/>
        <v>0</v>
      </c>
      <c r="M56" s="22">
        <f t="shared" si="25"/>
        <v>0</v>
      </c>
      <c r="N56" s="22">
        <f t="shared" si="25"/>
        <v>0</v>
      </c>
      <c r="O56" s="22">
        <f t="shared" si="25"/>
        <v>141.69999999999999</v>
      </c>
      <c r="P56" s="23">
        <f t="shared" si="5"/>
        <v>773.94</v>
      </c>
    </row>
    <row r="57" spans="2:21" x14ac:dyDescent="0.25">
      <c r="B57" s="31" t="s">
        <v>142</v>
      </c>
      <c r="C57" s="31" t="s">
        <v>143</v>
      </c>
      <c r="D57" s="25">
        <v>107.9</v>
      </c>
      <c r="E57" s="25">
        <v>373.59</v>
      </c>
      <c r="F57" s="25">
        <v>0</v>
      </c>
      <c r="G57" s="25">
        <v>66.25</v>
      </c>
      <c r="H57" s="25">
        <v>58.5</v>
      </c>
      <c r="I57" s="25">
        <v>6.5</v>
      </c>
      <c r="J57" s="25"/>
      <c r="K57" s="25">
        <v>19.5</v>
      </c>
      <c r="L57" s="25"/>
      <c r="M57" s="25"/>
      <c r="N57" s="25"/>
      <c r="O57" s="25">
        <v>141.69999999999999</v>
      </c>
      <c r="P57" s="33">
        <f t="shared" si="5"/>
        <v>773.94</v>
      </c>
    </row>
    <row r="58" spans="2:21" x14ac:dyDescent="0.25">
      <c r="B58" s="21" t="s">
        <v>144</v>
      </c>
      <c r="C58" s="21" t="s">
        <v>145</v>
      </c>
      <c r="D58" s="22">
        <f>+D59</f>
        <v>51735.76</v>
      </c>
      <c r="E58" s="22">
        <f t="shared" ref="E58:O58" si="26">+E59</f>
        <v>25830.15</v>
      </c>
      <c r="F58" s="22">
        <f t="shared" si="26"/>
        <v>114825.2</v>
      </c>
      <c r="G58" s="22">
        <f t="shared" si="26"/>
        <v>22535.5</v>
      </c>
      <c r="H58" s="22">
        <f t="shared" si="26"/>
        <v>100400.88</v>
      </c>
      <c r="I58" s="22">
        <f t="shared" si="26"/>
        <v>61645.09</v>
      </c>
      <c r="J58" s="22">
        <f t="shared" si="26"/>
        <v>67459.39</v>
      </c>
      <c r="K58" s="22">
        <f t="shared" si="26"/>
        <v>67566.87</v>
      </c>
      <c r="L58" s="22">
        <f t="shared" si="26"/>
        <v>65730.240000000005</v>
      </c>
      <c r="M58" s="22">
        <f t="shared" si="26"/>
        <v>65941.38</v>
      </c>
      <c r="N58" s="22">
        <f t="shared" si="26"/>
        <v>21128.74</v>
      </c>
      <c r="O58" s="22">
        <f t="shared" si="26"/>
        <v>112441.11</v>
      </c>
      <c r="P58" s="23">
        <f t="shared" si="5"/>
        <v>777240.30999999994</v>
      </c>
    </row>
    <row r="59" spans="2:21" x14ac:dyDescent="0.25">
      <c r="B59" s="31" t="s">
        <v>146</v>
      </c>
      <c r="C59" s="31" t="s">
        <v>147</v>
      </c>
      <c r="D59" s="25">
        <v>51735.76</v>
      </c>
      <c r="E59" s="25">
        <v>25830.15</v>
      </c>
      <c r="F59" s="25">
        <v>114825.2</v>
      </c>
      <c r="G59" s="25">
        <v>22535.5</v>
      </c>
      <c r="H59" s="25">
        <v>100400.88</v>
      </c>
      <c r="I59" s="25">
        <v>61645.09</v>
      </c>
      <c r="J59" s="25">
        <v>67459.39</v>
      </c>
      <c r="K59" s="25">
        <v>67566.87</v>
      </c>
      <c r="L59" s="25">
        <v>65730.240000000005</v>
      </c>
      <c r="M59" s="25">
        <v>65941.38</v>
      </c>
      <c r="N59" s="25">
        <v>21128.74</v>
      </c>
      <c r="O59" s="25">
        <v>112441.11</v>
      </c>
      <c r="P59" s="33">
        <f t="shared" si="5"/>
        <v>777240.30999999994</v>
      </c>
    </row>
    <row r="60" spans="2:21" x14ac:dyDescent="0.25">
      <c r="B60" s="21" t="s">
        <v>148</v>
      </c>
      <c r="C60" s="21" t="s">
        <v>149</v>
      </c>
      <c r="D60" s="22">
        <f>+D61</f>
        <v>169679.16</v>
      </c>
      <c r="E60" s="22">
        <f t="shared" ref="E60:O60" si="27">+E61</f>
        <v>158994.92000000001</v>
      </c>
      <c r="F60" s="22">
        <f t="shared" si="27"/>
        <v>178737.49</v>
      </c>
      <c r="G60" s="22">
        <f t="shared" si="27"/>
        <v>159895.45000000001</v>
      </c>
      <c r="H60" s="22">
        <f t="shared" si="27"/>
        <v>167403.12</v>
      </c>
      <c r="I60" s="22">
        <f t="shared" si="27"/>
        <v>184591.99</v>
      </c>
      <c r="J60" s="22">
        <f t="shared" si="27"/>
        <v>166772.79</v>
      </c>
      <c r="K60" s="22">
        <f t="shared" si="27"/>
        <v>166768.89000000001</v>
      </c>
      <c r="L60" s="22">
        <f t="shared" si="27"/>
        <v>166768.89000000001</v>
      </c>
      <c r="M60" s="22">
        <f t="shared" si="27"/>
        <v>167110.71</v>
      </c>
      <c r="N60" s="22">
        <f t="shared" si="27"/>
        <v>159909.79999999999</v>
      </c>
      <c r="O60" s="22">
        <f t="shared" si="27"/>
        <v>175488.21</v>
      </c>
      <c r="P60" s="23">
        <f t="shared" si="5"/>
        <v>2022121.4200000002</v>
      </c>
    </row>
    <row r="61" spans="2:21" x14ac:dyDescent="0.25">
      <c r="B61" s="31" t="s">
        <v>150</v>
      </c>
      <c r="C61" s="31" t="s">
        <v>149</v>
      </c>
      <c r="D61" s="25">
        <v>169679.16</v>
      </c>
      <c r="E61" s="25">
        <v>158994.92000000001</v>
      </c>
      <c r="F61" s="25">
        <v>178737.49</v>
      </c>
      <c r="G61" s="25">
        <v>159895.45000000001</v>
      </c>
      <c r="H61" s="25">
        <v>167403.12</v>
      </c>
      <c r="I61" s="25">
        <v>184591.99</v>
      </c>
      <c r="J61" s="25">
        <v>166772.79</v>
      </c>
      <c r="K61" s="25">
        <v>166768.89000000001</v>
      </c>
      <c r="L61" s="25">
        <v>166768.89000000001</v>
      </c>
      <c r="M61" s="25">
        <v>167110.71</v>
      </c>
      <c r="N61" s="25">
        <v>159909.79999999999</v>
      </c>
      <c r="O61" s="25">
        <v>175488.21</v>
      </c>
      <c r="P61" s="33">
        <f t="shared" si="5"/>
        <v>2022121.4200000002</v>
      </c>
    </row>
    <row r="62" spans="2:21" x14ac:dyDescent="0.25">
      <c r="B62" s="21" t="s">
        <v>151</v>
      </c>
      <c r="C62" s="21" t="s">
        <v>152</v>
      </c>
      <c r="D62" s="22">
        <f>+D63</f>
        <v>135029.69</v>
      </c>
      <c r="E62" s="22">
        <f t="shared" ref="E62:O62" si="28">+E63</f>
        <v>138480.69</v>
      </c>
      <c r="F62" s="22">
        <f t="shared" si="28"/>
        <v>133106.70000000001</v>
      </c>
      <c r="G62" s="22">
        <f t="shared" si="28"/>
        <v>140245.5</v>
      </c>
      <c r="H62" s="22">
        <f t="shared" si="28"/>
        <v>173392.88</v>
      </c>
      <c r="I62" s="22">
        <f t="shared" si="28"/>
        <v>141973.28</v>
      </c>
      <c r="J62" s="22">
        <f t="shared" si="28"/>
        <v>120698.97</v>
      </c>
      <c r="K62" s="22">
        <f t="shared" si="28"/>
        <v>143361.14000000001</v>
      </c>
      <c r="L62" s="22">
        <f t="shared" si="28"/>
        <v>146247.03</v>
      </c>
      <c r="M62" s="22">
        <f t="shared" si="28"/>
        <v>145822.45000000001</v>
      </c>
      <c r="N62" s="22">
        <f t="shared" si="28"/>
        <v>0</v>
      </c>
      <c r="O62" s="22">
        <f t="shared" si="28"/>
        <v>146537.43</v>
      </c>
      <c r="P62" s="23">
        <f t="shared" si="5"/>
        <v>1564895.76</v>
      </c>
    </row>
    <row r="63" spans="2:21" x14ac:dyDescent="0.25">
      <c r="B63" s="31" t="s">
        <v>153</v>
      </c>
      <c r="C63" s="31" t="s">
        <v>154</v>
      </c>
      <c r="D63" s="25">
        <v>135029.69</v>
      </c>
      <c r="E63" s="25">
        <v>138480.69</v>
      </c>
      <c r="F63" s="25">
        <v>133106.70000000001</v>
      </c>
      <c r="G63" s="25">
        <v>140245.5</v>
      </c>
      <c r="H63" s="25">
        <v>173392.88</v>
      </c>
      <c r="I63" s="25">
        <v>141973.28</v>
      </c>
      <c r="J63" s="25">
        <v>120698.97</v>
      </c>
      <c r="K63" s="25">
        <v>143361.14000000001</v>
      </c>
      <c r="L63" s="25">
        <v>146247.03</v>
      </c>
      <c r="M63" s="25">
        <v>145822.45000000001</v>
      </c>
      <c r="N63" s="25">
        <v>0</v>
      </c>
      <c r="O63" s="25">
        <v>146537.43</v>
      </c>
      <c r="P63" s="33">
        <f t="shared" si="5"/>
        <v>1564895.76</v>
      </c>
    </row>
    <row r="64" spans="2:21" x14ac:dyDescent="0.25">
      <c r="B64" s="21" t="s">
        <v>155</v>
      </c>
      <c r="C64" s="21" t="s">
        <v>156</v>
      </c>
      <c r="D64" s="22">
        <f>+D65</f>
        <v>3760</v>
      </c>
      <c r="E64" s="22">
        <f t="shared" ref="E64:O64" si="29">+E65</f>
        <v>3760</v>
      </c>
      <c r="F64" s="22">
        <f t="shared" si="29"/>
        <v>3760</v>
      </c>
      <c r="G64" s="22">
        <f t="shared" si="29"/>
        <v>0</v>
      </c>
      <c r="H64" s="22">
        <f t="shared" si="29"/>
        <v>7520</v>
      </c>
      <c r="I64" s="22">
        <f t="shared" si="29"/>
        <v>3760</v>
      </c>
      <c r="J64" s="22">
        <f t="shared" si="29"/>
        <v>3760</v>
      </c>
      <c r="K64" s="22">
        <f t="shared" si="29"/>
        <v>3760</v>
      </c>
      <c r="L64" s="22">
        <f t="shared" si="29"/>
        <v>1622</v>
      </c>
      <c r="M64" s="22">
        <f t="shared" si="29"/>
        <v>3759</v>
      </c>
      <c r="N64" s="22">
        <f t="shared" si="29"/>
        <v>6350.8</v>
      </c>
      <c r="O64" s="22">
        <f t="shared" si="29"/>
        <v>4212.8</v>
      </c>
      <c r="P64" s="23">
        <f t="shared" si="5"/>
        <v>46024.600000000006</v>
      </c>
    </row>
    <row r="65" spans="2:16" x14ac:dyDescent="0.25">
      <c r="B65" s="31" t="s">
        <v>157</v>
      </c>
      <c r="C65" s="31" t="s">
        <v>156</v>
      </c>
      <c r="D65" s="25">
        <v>3760</v>
      </c>
      <c r="E65" s="25">
        <v>3760</v>
      </c>
      <c r="F65" s="25">
        <v>3760</v>
      </c>
      <c r="G65" s="25">
        <v>0</v>
      </c>
      <c r="H65" s="25">
        <v>7520</v>
      </c>
      <c r="I65" s="25">
        <v>3760</v>
      </c>
      <c r="J65" s="25">
        <v>3760</v>
      </c>
      <c r="K65" s="25">
        <v>3760</v>
      </c>
      <c r="L65" s="25">
        <v>1622</v>
      </c>
      <c r="M65" s="25">
        <v>3759</v>
      </c>
      <c r="N65" s="25">
        <v>6350.8</v>
      </c>
      <c r="O65" s="25">
        <v>4212.8</v>
      </c>
      <c r="P65" s="33">
        <f t="shared" si="5"/>
        <v>46024.600000000006</v>
      </c>
    </row>
    <row r="66" spans="2:16" x14ac:dyDescent="0.25">
      <c r="B66" s="21" t="s">
        <v>158</v>
      </c>
      <c r="C66" s="21" t="s">
        <v>159</v>
      </c>
      <c r="D66" s="22">
        <f>+D67</f>
        <v>1425</v>
      </c>
      <c r="E66" s="22">
        <f t="shared" ref="E66:O66" si="30">+E67</f>
        <v>1425</v>
      </c>
      <c r="F66" s="22">
        <f t="shared" si="30"/>
        <v>1592</v>
      </c>
      <c r="G66" s="22">
        <f t="shared" si="30"/>
        <v>1425</v>
      </c>
      <c r="H66" s="22">
        <f t="shared" si="30"/>
        <v>1425</v>
      </c>
      <c r="I66" s="22">
        <f t="shared" si="30"/>
        <v>1425</v>
      </c>
      <c r="J66" s="22">
        <f t="shared" si="30"/>
        <v>1425</v>
      </c>
      <c r="K66" s="22">
        <f t="shared" si="30"/>
        <v>1425</v>
      </c>
      <c r="L66" s="22">
        <f t="shared" si="30"/>
        <v>1425</v>
      </c>
      <c r="M66" s="22">
        <f t="shared" si="30"/>
        <v>1425</v>
      </c>
      <c r="N66" s="22">
        <f t="shared" si="30"/>
        <v>1425</v>
      </c>
      <c r="O66" s="22">
        <f t="shared" si="30"/>
        <v>1425</v>
      </c>
      <c r="P66" s="23">
        <f t="shared" si="5"/>
        <v>17267</v>
      </c>
    </row>
    <row r="67" spans="2:16" x14ac:dyDescent="0.25">
      <c r="B67" s="31" t="s">
        <v>160</v>
      </c>
      <c r="C67" s="31" t="s">
        <v>159</v>
      </c>
      <c r="D67" s="25">
        <v>1425</v>
      </c>
      <c r="E67" s="25">
        <v>1425</v>
      </c>
      <c r="F67" s="25">
        <v>1592</v>
      </c>
      <c r="G67" s="25">
        <v>1425</v>
      </c>
      <c r="H67" s="25">
        <v>1425</v>
      </c>
      <c r="I67" s="25">
        <v>1425</v>
      </c>
      <c r="J67" s="25">
        <v>1425</v>
      </c>
      <c r="K67" s="25">
        <v>1425</v>
      </c>
      <c r="L67" s="25">
        <v>1425</v>
      </c>
      <c r="M67" s="25">
        <v>1425</v>
      </c>
      <c r="N67" s="25">
        <v>1425</v>
      </c>
      <c r="O67" s="25">
        <v>1425</v>
      </c>
      <c r="P67" s="33">
        <f t="shared" si="5"/>
        <v>17267</v>
      </c>
    </row>
    <row r="68" spans="2:16" x14ac:dyDescent="0.25">
      <c r="B68" s="21" t="s">
        <v>17</v>
      </c>
      <c r="C68" s="21" t="s">
        <v>161</v>
      </c>
      <c r="D68" s="22">
        <f>+D69+D71</f>
        <v>0</v>
      </c>
      <c r="E68" s="22">
        <f t="shared" ref="E68:O68" si="31">+E69+E71</f>
        <v>0</v>
      </c>
      <c r="F68" s="22">
        <f t="shared" si="31"/>
        <v>0</v>
      </c>
      <c r="G68" s="22">
        <f t="shared" ref="G68" si="32">+G69+G71</f>
        <v>205044.68</v>
      </c>
      <c r="H68" s="22">
        <f t="shared" si="31"/>
        <v>14091.169999999998</v>
      </c>
      <c r="I68" s="22">
        <f t="shared" si="31"/>
        <v>195268.37</v>
      </c>
      <c r="J68" s="22">
        <f t="shared" si="31"/>
        <v>24239.17</v>
      </c>
      <c r="K68" s="22">
        <f t="shared" si="31"/>
        <v>95039.17</v>
      </c>
      <c r="L68" s="22">
        <f t="shared" si="31"/>
        <v>106702.05</v>
      </c>
      <c r="M68" s="22">
        <f t="shared" si="31"/>
        <v>24239.17</v>
      </c>
      <c r="N68" s="22">
        <f t="shared" si="31"/>
        <v>70259.17</v>
      </c>
      <c r="O68" s="22">
        <f t="shared" si="31"/>
        <v>24239.17</v>
      </c>
      <c r="P68" s="23">
        <f t="shared" si="5"/>
        <v>759122.12000000011</v>
      </c>
    </row>
    <row r="69" spans="2:16" x14ac:dyDescent="0.25">
      <c r="B69" s="21" t="s">
        <v>162</v>
      </c>
      <c r="C69" s="21" t="s">
        <v>163</v>
      </c>
      <c r="D69" s="22">
        <f>+D70</f>
        <v>0</v>
      </c>
      <c r="E69" s="22">
        <f t="shared" ref="E69:O69" si="33">+E70</f>
        <v>0</v>
      </c>
      <c r="F69" s="22">
        <f t="shared" si="33"/>
        <v>0</v>
      </c>
      <c r="G69" s="22">
        <f t="shared" si="33"/>
        <v>96956.68</v>
      </c>
      <c r="H69" s="22">
        <f t="shared" si="33"/>
        <v>24239.17</v>
      </c>
      <c r="I69" s="22">
        <f t="shared" si="33"/>
        <v>24239.17</v>
      </c>
      <c r="J69" s="22">
        <f t="shared" si="33"/>
        <v>24239.17</v>
      </c>
      <c r="K69" s="22">
        <f t="shared" si="33"/>
        <v>95039.17</v>
      </c>
      <c r="L69" s="22">
        <f t="shared" si="33"/>
        <v>106702.05</v>
      </c>
      <c r="M69" s="22">
        <f t="shared" si="33"/>
        <v>24239.17</v>
      </c>
      <c r="N69" s="22">
        <f t="shared" si="33"/>
        <v>24239.17</v>
      </c>
      <c r="O69" s="22">
        <f t="shared" si="33"/>
        <v>24239.17</v>
      </c>
      <c r="P69" s="23">
        <f t="shared" si="5"/>
        <v>444132.91999999993</v>
      </c>
    </row>
    <row r="70" spans="2:16" x14ac:dyDescent="0.25">
      <c r="B70" s="31" t="s">
        <v>164</v>
      </c>
      <c r="C70" s="31" t="s">
        <v>163</v>
      </c>
      <c r="D70" s="25">
        <v>0</v>
      </c>
      <c r="E70" s="25">
        <v>0</v>
      </c>
      <c r="F70" s="25">
        <v>0</v>
      </c>
      <c r="G70" s="25">
        <v>96956.68</v>
      </c>
      <c r="H70" s="25">
        <v>24239.17</v>
      </c>
      <c r="I70" s="25">
        <v>24239.17</v>
      </c>
      <c r="J70" s="25">
        <v>24239.17</v>
      </c>
      <c r="K70" s="25">
        <v>95039.17</v>
      </c>
      <c r="L70" s="25">
        <v>106702.05</v>
      </c>
      <c r="M70" s="25">
        <v>24239.17</v>
      </c>
      <c r="N70" s="25">
        <v>24239.17</v>
      </c>
      <c r="O70" s="25">
        <v>24239.17</v>
      </c>
      <c r="P70" s="33">
        <f t="shared" si="5"/>
        <v>444132.91999999993</v>
      </c>
    </row>
    <row r="71" spans="2:16" x14ac:dyDescent="0.25">
      <c r="B71" s="21" t="s">
        <v>165</v>
      </c>
      <c r="C71" s="21" t="s">
        <v>166</v>
      </c>
      <c r="D71" s="22">
        <f>+D72</f>
        <v>0</v>
      </c>
      <c r="E71" s="22">
        <f t="shared" ref="E71:O71" si="34">+E72</f>
        <v>0</v>
      </c>
      <c r="F71" s="22">
        <f t="shared" si="34"/>
        <v>0</v>
      </c>
      <c r="G71" s="22">
        <f t="shared" si="34"/>
        <v>108088</v>
      </c>
      <c r="H71" s="22">
        <f t="shared" si="34"/>
        <v>-10148</v>
      </c>
      <c r="I71" s="22">
        <f t="shared" si="34"/>
        <v>171029.2</v>
      </c>
      <c r="J71" s="22">
        <f t="shared" si="34"/>
        <v>0</v>
      </c>
      <c r="K71" s="22">
        <f t="shared" si="34"/>
        <v>0</v>
      </c>
      <c r="L71" s="22">
        <f t="shared" si="34"/>
        <v>0</v>
      </c>
      <c r="M71" s="22">
        <f t="shared" si="34"/>
        <v>0</v>
      </c>
      <c r="N71" s="22">
        <f t="shared" si="34"/>
        <v>46020</v>
      </c>
      <c r="O71" s="22">
        <f t="shared" si="34"/>
        <v>0</v>
      </c>
      <c r="P71" s="23">
        <f t="shared" si="5"/>
        <v>314989.2</v>
      </c>
    </row>
    <row r="72" spans="2:16" x14ac:dyDescent="0.25">
      <c r="B72" s="31" t="s">
        <v>167</v>
      </c>
      <c r="C72" s="31" t="s">
        <v>166</v>
      </c>
      <c r="D72" s="25">
        <v>0</v>
      </c>
      <c r="E72" s="25">
        <v>0</v>
      </c>
      <c r="F72" s="25">
        <v>0</v>
      </c>
      <c r="G72" s="25">
        <v>108088</v>
      </c>
      <c r="H72" s="25">
        <v>-10148</v>
      </c>
      <c r="I72" s="25">
        <v>171029.2</v>
      </c>
      <c r="J72" s="25">
        <v>0</v>
      </c>
      <c r="K72" s="25">
        <v>0</v>
      </c>
      <c r="L72" s="25"/>
      <c r="M72" s="25"/>
      <c r="N72" s="25">
        <v>46020</v>
      </c>
      <c r="O72" s="25">
        <v>0</v>
      </c>
      <c r="P72" s="33">
        <f t="shared" si="5"/>
        <v>314989.2</v>
      </c>
    </row>
    <row r="73" spans="2:16" x14ac:dyDescent="0.25">
      <c r="B73" s="21" t="s">
        <v>19</v>
      </c>
      <c r="C73" s="21" t="s">
        <v>168</v>
      </c>
      <c r="D73" s="22">
        <f>+D74+D76</f>
        <v>0</v>
      </c>
      <c r="E73" s="22">
        <f t="shared" ref="E73:O73" si="35">+E74+E76</f>
        <v>0</v>
      </c>
      <c r="F73" s="22">
        <f t="shared" si="35"/>
        <v>5700</v>
      </c>
      <c r="G73" s="22">
        <f t="shared" ref="G73" si="36">+G74+G76</f>
        <v>0</v>
      </c>
      <c r="H73" s="22">
        <f t="shared" si="35"/>
        <v>0</v>
      </c>
      <c r="I73" s="22">
        <f t="shared" si="35"/>
        <v>0</v>
      </c>
      <c r="J73" s="22">
        <f t="shared" si="35"/>
        <v>2750</v>
      </c>
      <c r="K73" s="22">
        <f t="shared" si="35"/>
        <v>0</v>
      </c>
      <c r="L73" s="22">
        <f t="shared" si="35"/>
        <v>0</v>
      </c>
      <c r="M73" s="22">
        <f t="shared" si="35"/>
        <v>0</v>
      </c>
      <c r="N73" s="22">
        <f t="shared" si="35"/>
        <v>0</v>
      </c>
      <c r="O73" s="22">
        <f t="shared" si="35"/>
        <v>8100</v>
      </c>
      <c r="P73" s="23">
        <f t="shared" si="5"/>
        <v>16550</v>
      </c>
    </row>
    <row r="74" spans="2:16" x14ac:dyDescent="0.25">
      <c r="B74" s="21" t="s">
        <v>169</v>
      </c>
      <c r="C74" s="21" t="s">
        <v>170</v>
      </c>
      <c r="D74" s="22">
        <f>+D75</f>
        <v>0</v>
      </c>
      <c r="E74" s="22">
        <f t="shared" ref="E74:O74" si="37">+E75</f>
        <v>0</v>
      </c>
      <c r="F74" s="22">
        <f t="shared" si="37"/>
        <v>5700</v>
      </c>
      <c r="G74" s="22">
        <f t="shared" si="37"/>
        <v>0</v>
      </c>
      <c r="H74" s="22">
        <f t="shared" si="37"/>
        <v>0</v>
      </c>
      <c r="I74" s="22">
        <f t="shared" si="37"/>
        <v>0</v>
      </c>
      <c r="J74" s="22">
        <f t="shared" si="37"/>
        <v>2750</v>
      </c>
      <c r="K74" s="22">
        <f t="shared" si="37"/>
        <v>0</v>
      </c>
      <c r="L74" s="22">
        <f t="shared" si="37"/>
        <v>0</v>
      </c>
      <c r="M74" s="22">
        <f t="shared" si="37"/>
        <v>0</v>
      </c>
      <c r="N74" s="22">
        <f t="shared" si="37"/>
        <v>0</v>
      </c>
      <c r="O74" s="22">
        <f t="shared" si="37"/>
        <v>8100</v>
      </c>
      <c r="P74" s="23">
        <f t="shared" si="5"/>
        <v>16550</v>
      </c>
    </row>
    <row r="75" spans="2:16" x14ac:dyDescent="0.25">
      <c r="B75" s="31" t="s">
        <v>171</v>
      </c>
      <c r="C75" s="31" t="s">
        <v>170</v>
      </c>
      <c r="D75" s="25">
        <v>0</v>
      </c>
      <c r="E75" s="25">
        <v>0</v>
      </c>
      <c r="F75" s="25">
        <v>5700</v>
      </c>
      <c r="G75" s="25">
        <v>0</v>
      </c>
      <c r="H75" s="25">
        <v>0</v>
      </c>
      <c r="I75" s="25"/>
      <c r="J75" s="25">
        <v>2750</v>
      </c>
      <c r="K75" s="25">
        <v>0</v>
      </c>
      <c r="L75" s="25"/>
      <c r="M75" s="25"/>
      <c r="N75" s="25"/>
      <c r="O75" s="25">
        <v>8100</v>
      </c>
      <c r="P75" s="33">
        <f t="shared" si="5"/>
        <v>16550</v>
      </c>
    </row>
    <row r="76" spans="2:16" x14ac:dyDescent="0.25">
      <c r="B76" s="21" t="s">
        <v>172</v>
      </c>
      <c r="C76" s="21" t="s">
        <v>173</v>
      </c>
      <c r="D76" s="22">
        <f>+D77</f>
        <v>0</v>
      </c>
      <c r="E76" s="22">
        <f t="shared" ref="E76:O76" si="38">+E77</f>
        <v>0</v>
      </c>
      <c r="F76" s="22">
        <f t="shared" si="38"/>
        <v>0</v>
      </c>
      <c r="G76" s="22">
        <f t="shared" si="38"/>
        <v>0</v>
      </c>
      <c r="H76" s="22">
        <f t="shared" si="38"/>
        <v>0</v>
      </c>
      <c r="I76" s="22">
        <f t="shared" si="38"/>
        <v>0</v>
      </c>
      <c r="J76" s="22">
        <f t="shared" si="38"/>
        <v>0</v>
      </c>
      <c r="K76" s="22">
        <f t="shared" si="38"/>
        <v>0</v>
      </c>
      <c r="L76" s="22">
        <f t="shared" si="38"/>
        <v>0</v>
      </c>
      <c r="M76" s="22">
        <f t="shared" si="38"/>
        <v>0</v>
      </c>
      <c r="N76" s="22">
        <f t="shared" si="38"/>
        <v>0</v>
      </c>
      <c r="O76" s="22">
        <f t="shared" si="38"/>
        <v>0</v>
      </c>
      <c r="P76" s="23">
        <f t="shared" si="5"/>
        <v>0</v>
      </c>
    </row>
    <row r="77" spans="2:16" x14ac:dyDescent="0.25">
      <c r="B77" s="31" t="s">
        <v>174</v>
      </c>
      <c r="C77" s="31" t="s">
        <v>173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/>
      <c r="J77" s="25"/>
      <c r="K77" s="25">
        <v>0</v>
      </c>
      <c r="L77" s="25"/>
      <c r="M77" s="25"/>
      <c r="N77" s="25"/>
      <c r="O77" s="25"/>
      <c r="P77" s="33">
        <f t="shared" si="5"/>
        <v>0</v>
      </c>
    </row>
    <row r="78" spans="2:16" x14ac:dyDescent="0.25">
      <c r="B78" s="21" t="s">
        <v>21</v>
      </c>
      <c r="C78" s="21" t="s">
        <v>175</v>
      </c>
      <c r="D78" s="22">
        <f>+D79+D81</f>
        <v>8100</v>
      </c>
      <c r="E78" s="22">
        <f t="shared" ref="E78:O78" si="39">+E79+E81</f>
        <v>0</v>
      </c>
      <c r="F78" s="22">
        <f t="shared" si="39"/>
        <v>0</v>
      </c>
      <c r="G78" s="22">
        <f t="shared" ref="G78" si="40">+G79+G81</f>
        <v>0</v>
      </c>
      <c r="H78" s="22">
        <f t="shared" si="39"/>
        <v>0</v>
      </c>
      <c r="I78" s="22">
        <f t="shared" si="39"/>
        <v>0</v>
      </c>
      <c r="J78" s="22">
        <f t="shared" si="39"/>
        <v>0</v>
      </c>
      <c r="K78" s="22">
        <f t="shared" si="39"/>
        <v>0</v>
      </c>
      <c r="L78" s="22">
        <f t="shared" si="39"/>
        <v>0</v>
      </c>
      <c r="M78" s="22">
        <f t="shared" si="39"/>
        <v>0</v>
      </c>
      <c r="N78" s="22">
        <f t="shared" si="39"/>
        <v>66579</v>
      </c>
      <c r="O78" s="22">
        <f t="shared" si="39"/>
        <v>130800</v>
      </c>
      <c r="P78" s="23">
        <f t="shared" si="5"/>
        <v>205479</v>
      </c>
    </row>
    <row r="79" spans="2:16" x14ac:dyDescent="0.25">
      <c r="B79" s="21" t="s">
        <v>176</v>
      </c>
      <c r="C79" s="21" t="s">
        <v>177</v>
      </c>
      <c r="D79" s="22">
        <f>+D80</f>
        <v>0</v>
      </c>
      <c r="E79" s="22">
        <f t="shared" ref="E79:O79" si="41">+E80</f>
        <v>0</v>
      </c>
      <c r="F79" s="22">
        <f t="shared" si="41"/>
        <v>0</v>
      </c>
      <c r="G79" s="22">
        <f t="shared" si="41"/>
        <v>0</v>
      </c>
      <c r="H79" s="22">
        <f t="shared" si="41"/>
        <v>0</v>
      </c>
      <c r="I79" s="22">
        <f t="shared" si="41"/>
        <v>0</v>
      </c>
      <c r="J79" s="22">
        <f t="shared" si="41"/>
        <v>0</v>
      </c>
      <c r="K79" s="22">
        <f t="shared" si="41"/>
        <v>0</v>
      </c>
      <c r="L79" s="22">
        <f t="shared" si="41"/>
        <v>0</v>
      </c>
      <c r="M79" s="22">
        <f t="shared" si="41"/>
        <v>0</v>
      </c>
      <c r="N79" s="22">
        <f t="shared" si="41"/>
        <v>66579</v>
      </c>
      <c r="O79" s="22">
        <f t="shared" si="41"/>
        <v>130800</v>
      </c>
      <c r="P79" s="23">
        <f t="shared" si="5"/>
        <v>197379</v>
      </c>
    </row>
    <row r="80" spans="2:16" x14ac:dyDescent="0.25">
      <c r="B80" s="31" t="s">
        <v>178</v>
      </c>
      <c r="C80" s="31" t="s">
        <v>177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/>
      <c r="J80" s="25"/>
      <c r="K80" s="25">
        <v>0</v>
      </c>
      <c r="L80" s="25"/>
      <c r="M80" s="25"/>
      <c r="N80" s="25">
        <v>66579</v>
      </c>
      <c r="O80" s="25">
        <v>130800</v>
      </c>
      <c r="P80" s="33">
        <f t="shared" si="5"/>
        <v>197379</v>
      </c>
    </row>
    <row r="81" spans="2:16" x14ac:dyDescent="0.25">
      <c r="B81" s="21" t="s">
        <v>179</v>
      </c>
      <c r="C81" s="21" t="s">
        <v>180</v>
      </c>
      <c r="D81" s="22">
        <f>+D82</f>
        <v>8100</v>
      </c>
      <c r="E81" s="22">
        <f t="shared" ref="E81:O81" si="42">+E82</f>
        <v>0</v>
      </c>
      <c r="F81" s="22">
        <f t="shared" si="42"/>
        <v>0</v>
      </c>
      <c r="G81" s="22">
        <f t="shared" si="42"/>
        <v>0</v>
      </c>
      <c r="H81" s="22">
        <f t="shared" si="42"/>
        <v>0</v>
      </c>
      <c r="I81" s="22">
        <f t="shared" si="42"/>
        <v>0</v>
      </c>
      <c r="J81" s="22">
        <f t="shared" si="42"/>
        <v>0</v>
      </c>
      <c r="K81" s="22">
        <f t="shared" si="42"/>
        <v>0</v>
      </c>
      <c r="L81" s="22">
        <f t="shared" si="42"/>
        <v>0</v>
      </c>
      <c r="M81" s="22">
        <f t="shared" si="42"/>
        <v>0</v>
      </c>
      <c r="N81" s="22">
        <f t="shared" si="42"/>
        <v>0</v>
      </c>
      <c r="O81" s="22">
        <f t="shared" si="42"/>
        <v>0</v>
      </c>
      <c r="P81" s="23">
        <f t="shared" si="5"/>
        <v>8100</v>
      </c>
    </row>
    <row r="82" spans="2:16" x14ac:dyDescent="0.25">
      <c r="B82" s="31" t="s">
        <v>181</v>
      </c>
      <c r="C82" s="31" t="s">
        <v>180</v>
      </c>
      <c r="D82" s="25">
        <v>8100</v>
      </c>
      <c r="E82" s="25">
        <v>0</v>
      </c>
      <c r="F82" s="25">
        <v>0</v>
      </c>
      <c r="G82" s="25">
        <v>0</v>
      </c>
      <c r="H82" s="25">
        <v>0</v>
      </c>
      <c r="I82" s="25"/>
      <c r="J82" s="25"/>
      <c r="K82" s="25">
        <v>0</v>
      </c>
      <c r="L82" s="25"/>
      <c r="M82" s="25"/>
      <c r="N82" s="25"/>
      <c r="O82" s="25"/>
      <c r="P82" s="37">
        <f t="shared" si="5"/>
        <v>8100</v>
      </c>
    </row>
    <row r="83" spans="2:16" x14ac:dyDescent="0.25">
      <c r="B83" s="21" t="s">
        <v>23</v>
      </c>
      <c r="C83" s="21" t="s">
        <v>182</v>
      </c>
      <c r="D83" s="22">
        <f>+D86+D88+D84</f>
        <v>0</v>
      </c>
      <c r="E83" s="22">
        <f t="shared" ref="E83:O83" si="43">+E86+E88+E84</f>
        <v>0</v>
      </c>
      <c r="F83" s="22">
        <f>+F85+F91</f>
        <v>432743.76</v>
      </c>
      <c r="G83" s="22">
        <f>+G85+G91</f>
        <v>0</v>
      </c>
      <c r="H83" s="22">
        <f>+H86+H88+H84+H90</f>
        <v>3443585.42</v>
      </c>
      <c r="I83" s="22">
        <f>+I85+I91</f>
        <v>212021.1</v>
      </c>
      <c r="J83" s="22">
        <f t="shared" si="43"/>
        <v>27140</v>
      </c>
      <c r="K83" s="22">
        <f>+K84+K90</f>
        <v>96914.11</v>
      </c>
      <c r="L83" s="22">
        <f>+L84+L90</f>
        <v>2219843.46</v>
      </c>
      <c r="M83" s="22">
        <f>+M85+M91</f>
        <v>45614.259999999995</v>
      </c>
      <c r="N83" s="22">
        <f t="shared" si="43"/>
        <v>20650</v>
      </c>
      <c r="O83" s="22">
        <f t="shared" si="43"/>
        <v>20650</v>
      </c>
      <c r="P83" s="23">
        <f t="shared" si="5"/>
        <v>6519162.1099999994</v>
      </c>
    </row>
    <row r="84" spans="2:16" x14ac:dyDescent="0.25">
      <c r="B84" s="21" t="s">
        <v>529</v>
      </c>
      <c r="C84" s="21" t="s">
        <v>531</v>
      </c>
      <c r="D84" s="22">
        <f>+D85</f>
        <v>0</v>
      </c>
      <c r="E84" s="22">
        <f t="shared" ref="E84:O86" si="44">+E85</f>
        <v>0</v>
      </c>
      <c r="F84" s="22">
        <f t="shared" si="44"/>
        <v>75708.800000000003</v>
      </c>
      <c r="G84" s="22">
        <f t="shared" si="44"/>
        <v>0</v>
      </c>
      <c r="H84" s="22">
        <f t="shared" si="44"/>
        <v>0</v>
      </c>
      <c r="I84" s="22">
        <f t="shared" si="44"/>
        <v>56781.599999999999</v>
      </c>
      <c r="J84" s="22">
        <f t="shared" si="44"/>
        <v>27140</v>
      </c>
      <c r="K84" s="22">
        <f t="shared" si="44"/>
        <v>55460</v>
      </c>
      <c r="L84" s="22">
        <f t="shared" si="44"/>
        <v>20650</v>
      </c>
      <c r="M84" s="22">
        <f t="shared" si="44"/>
        <v>20650</v>
      </c>
      <c r="N84" s="22">
        <f t="shared" si="44"/>
        <v>20650</v>
      </c>
      <c r="O84" s="22">
        <f t="shared" si="44"/>
        <v>20650</v>
      </c>
      <c r="P84" s="23">
        <f t="shared" ref="P84:P85" si="45">SUM(D84:O84)</f>
        <v>297690.40000000002</v>
      </c>
    </row>
    <row r="85" spans="2:16" x14ac:dyDescent="0.25">
      <c r="B85" s="31" t="s">
        <v>530</v>
      </c>
      <c r="C85" s="31" t="s">
        <v>531</v>
      </c>
      <c r="D85" s="25">
        <v>0</v>
      </c>
      <c r="E85" s="25">
        <v>0</v>
      </c>
      <c r="F85" s="25">
        <v>75708.800000000003</v>
      </c>
      <c r="G85" s="25">
        <v>0</v>
      </c>
      <c r="H85" s="25">
        <v>0</v>
      </c>
      <c r="I85" s="25">
        <v>56781.599999999999</v>
      </c>
      <c r="J85" s="25">
        <v>27140</v>
      </c>
      <c r="K85" s="25">
        <v>55460</v>
      </c>
      <c r="L85" s="25">
        <v>20650</v>
      </c>
      <c r="M85" s="25">
        <v>20650</v>
      </c>
      <c r="N85" s="25">
        <v>20650</v>
      </c>
      <c r="O85" s="25">
        <v>20650</v>
      </c>
      <c r="P85" s="32">
        <f t="shared" si="45"/>
        <v>297690.40000000002</v>
      </c>
    </row>
    <row r="86" spans="2:16" x14ac:dyDescent="0.25">
      <c r="B86" s="21" t="s">
        <v>183</v>
      </c>
      <c r="C86" s="21" t="s">
        <v>184</v>
      </c>
      <c r="D86" s="22">
        <f>+D87</f>
        <v>0</v>
      </c>
      <c r="E86" s="22">
        <f t="shared" si="44"/>
        <v>0</v>
      </c>
      <c r="F86" s="22">
        <f t="shared" si="44"/>
        <v>0</v>
      </c>
      <c r="G86" s="22">
        <f t="shared" si="44"/>
        <v>0</v>
      </c>
      <c r="H86" s="22">
        <f t="shared" si="44"/>
        <v>0</v>
      </c>
      <c r="I86" s="22">
        <f t="shared" si="44"/>
        <v>0</v>
      </c>
      <c r="J86" s="22">
        <f t="shared" si="44"/>
        <v>0</v>
      </c>
      <c r="K86" s="22">
        <f t="shared" si="44"/>
        <v>0</v>
      </c>
      <c r="L86" s="22">
        <f t="shared" si="44"/>
        <v>0</v>
      </c>
      <c r="M86" s="22">
        <f t="shared" si="44"/>
        <v>0</v>
      </c>
      <c r="N86" s="22">
        <f t="shared" si="44"/>
        <v>0</v>
      </c>
      <c r="O86" s="22">
        <f t="shared" si="44"/>
        <v>0</v>
      </c>
      <c r="P86" s="23">
        <f t="shared" si="5"/>
        <v>0</v>
      </c>
    </row>
    <row r="87" spans="2:16" x14ac:dyDescent="0.25">
      <c r="B87" s="31" t="s">
        <v>185</v>
      </c>
      <c r="C87" s="31" t="s">
        <v>186</v>
      </c>
      <c r="D87" s="25">
        <v>0</v>
      </c>
      <c r="E87" s="25">
        <v>0</v>
      </c>
      <c r="F87" s="25">
        <v>0</v>
      </c>
      <c r="G87" s="25">
        <v>0</v>
      </c>
      <c r="H87" s="25"/>
      <c r="I87" s="25"/>
      <c r="J87" s="25"/>
      <c r="K87" s="25"/>
      <c r="L87" s="25"/>
      <c r="M87" s="25"/>
      <c r="N87" s="25"/>
      <c r="O87" s="25"/>
      <c r="P87" s="32">
        <f t="shared" si="5"/>
        <v>0</v>
      </c>
    </row>
    <row r="88" spans="2:16" x14ac:dyDescent="0.25">
      <c r="B88" s="21" t="s">
        <v>187</v>
      </c>
      <c r="C88" s="21" t="s">
        <v>188</v>
      </c>
      <c r="D88" s="22">
        <f>+D89</f>
        <v>0</v>
      </c>
      <c r="E88" s="22">
        <f t="shared" ref="E88:O90" si="46">+E89</f>
        <v>0</v>
      </c>
      <c r="F88" s="22">
        <f t="shared" si="46"/>
        <v>0</v>
      </c>
      <c r="G88" s="22">
        <f t="shared" si="46"/>
        <v>0</v>
      </c>
      <c r="H88" s="22">
        <f t="shared" si="46"/>
        <v>0</v>
      </c>
      <c r="I88" s="22">
        <f t="shared" si="46"/>
        <v>0</v>
      </c>
      <c r="J88" s="22">
        <f t="shared" si="46"/>
        <v>0</v>
      </c>
      <c r="K88" s="22">
        <f t="shared" si="46"/>
        <v>0</v>
      </c>
      <c r="L88" s="22">
        <f t="shared" si="46"/>
        <v>0</v>
      </c>
      <c r="M88" s="22">
        <f t="shared" si="46"/>
        <v>0</v>
      </c>
      <c r="N88" s="22">
        <f t="shared" si="46"/>
        <v>0</v>
      </c>
      <c r="O88" s="22">
        <f t="shared" si="46"/>
        <v>0</v>
      </c>
      <c r="P88" s="23">
        <f t="shared" si="5"/>
        <v>0</v>
      </c>
    </row>
    <row r="89" spans="2:16" x14ac:dyDescent="0.25">
      <c r="B89" s="31" t="s">
        <v>189</v>
      </c>
      <c r="C89" s="31" t="s">
        <v>188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/>
      <c r="J89" s="25"/>
      <c r="K89" s="25">
        <v>0</v>
      </c>
      <c r="L89" s="25"/>
      <c r="M89" s="25"/>
      <c r="N89" s="25"/>
      <c r="O89" s="25"/>
      <c r="P89" s="33">
        <f t="shared" si="5"/>
        <v>0</v>
      </c>
    </row>
    <row r="90" spans="2:16" x14ac:dyDescent="0.25">
      <c r="B90" s="21" t="s">
        <v>541</v>
      </c>
      <c r="C90" s="21" t="s">
        <v>543</v>
      </c>
      <c r="D90" s="22">
        <f>+D91</f>
        <v>0</v>
      </c>
      <c r="E90" s="22">
        <f t="shared" si="46"/>
        <v>0</v>
      </c>
      <c r="F90" s="22">
        <f t="shared" si="46"/>
        <v>357034.96</v>
      </c>
      <c r="G90" s="22">
        <f t="shared" si="46"/>
        <v>0</v>
      </c>
      <c r="H90" s="22">
        <f t="shared" si="46"/>
        <v>3443585.42</v>
      </c>
      <c r="I90" s="22">
        <f t="shared" si="46"/>
        <v>155239.5</v>
      </c>
      <c r="J90" s="22">
        <f t="shared" si="46"/>
        <v>0</v>
      </c>
      <c r="K90" s="22">
        <f t="shared" si="46"/>
        <v>41454.11</v>
      </c>
      <c r="L90" s="22">
        <f t="shared" si="46"/>
        <v>2199193.46</v>
      </c>
      <c r="M90" s="22">
        <f t="shared" si="46"/>
        <v>24964.26</v>
      </c>
      <c r="N90" s="22">
        <f t="shared" si="46"/>
        <v>0</v>
      </c>
      <c r="O90" s="22">
        <f t="shared" si="46"/>
        <v>0</v>
      </c>
      <c r="P90" s="23">
        <f t="shared" ref="P90:P91" si="47">SUM(D90:O90)</f>
        <v>6221471.709999999</v>
      </c>
    </row>
    <row r="91" spans="2:16" x14ac:dyDescent="0.25">
      <c r="B91" s="31" t="s">
        <v>542</v>
      </c>
      <c r="C91" s="31" t="s">
        <v>544</v>
      </c>
      <c r="D91" s="25">
        <v>0</v>
      </c>
      <c r="E91" s="25">
        <v>0</v>
      </c>
      <c r="F91" s="25">
        <v>357034.96</v>
      </c>
      <c r="G91" s="25">
        <v>0</v>
      </c>
      <c r="H91" s="25">
        <v>3443585.42</v>
      </c>
      <c r="I91" s="25">
        <v>155239.5</v>
      </c>
      <c r="J91" s="25"/>
      <c r="K91" s="250">
        <v>41454.11</v>
      </c>
      <c r="L91" s="250">
        <v>2199193.46</v>
      </c>
      <c r="M91" s="25">
        <v>24964.26</v>
      </c>
      <c r="N91" s="25"/>
      <c r="O91" s="25"/>
      <c r="P91" s="33">
        <f t="shared" si="47"/>
        <v>6221471.709999999</v>
      </c>
    </row>
    <row r="92" spans="2:16" x14ac:dyDescent="0.25">
      <c r="B92" s="21" t="s">
        <v>25</v>
      </c>
      <c r="C92" s="21" t="s">
        <v>190</v>
      </c>
      <c r="D92" s="22">
        <f>+D93+D95</f>
        <v>129520.05</v>
      </c>
      <c r="E92" s="22">
        <f t="shared" ref="E92:O92" si="48">+E93+E95</f>
        <v>464950.76</v>
      </c>
      <c r="F92" s="22">
        <f t="shared" si="48"/>
        <v>198654.48</v>
      </c>
      <c r="G92" s="22">
        <f t="shared" si="48"/>
        <v>161121.01999999999</v>
      </c>
      <c r="H92" s="22">
        <f t="shared" si="48"/>
        <v>194814.77</v>
      </c>
      <c r="I92" s="22">
        <f t="shared" si="48"/>
        <v>204911.74</v>
      </c>
      <c r="J92" s="22">
        <f t="shared" si="48"/>
        <v>183745.84</v>
      </c>
      <c r="K92" s="22">
        <f t="shared" si="48"/>
        <v>187489</v>
      </c>
      <c r="L92" s="22">
        <f t="shared" si="48"/>
        <v>194180.29</v>
      </c>
      <c r="M92" s="22">
        <f t="shared" si="48"/>
        <v>184378.6</v>
      </c>
      <c r="N92" s="22">
        <f t="shared" si="48"/>
        <v>406351.96</v>
      </c>
      <c r="O92" s="22">
        <f t="shared" si="48"/>
        <v>229515.89</v>
      </c>
      <c r="P92" s="23">
        <f t="shared" ref="P92:P166" si="49">SUM(D92:O92)</f>
        <v>2739634.4000000004</v>
      </c>
    </row>
    <row r="93" spans="2:16" x14ac:dyDescent="0.25">
      <c r="B93" s="21" t="s">
        <v>191</v>
      </c>
      <c r="C93" s="21" t="s">
        <v>192</v>
      </c>
      <c r="D93" s="22">
        <f>+D94</f>
        <v>0</v>
      </c>
      <c r="E93" s="22">
        <f t="shared" ref="E93:O93" si="50">+E94</f>
        <v>324797.74</v>
      </c>
      <c r="F93" s="22">
        <f t="shared" si="50"/>
        <v>0</v>
      </c>
      <c r="G93" s="22">
        <f t="shared" si="50"/>
        <v>0</v>
      </c>
      <c r="H93" s="22">
        <f t="shared" si="50"/>
        <v>0</v>
      </c>
      <c r="I93" s="22">
        <f t="shared" si="50"/>
        <v>0</v>
      </c>
      <c r="J93" s="22">
        <f t="shared" si="50"/>
        <v>0</v>
      </c>
      <c r="K93" s="22">
        <f t="shared" si="50"/>
        <v>0</v>
      </c>
      <c r="L93" s="22">
        <f t="shared" si="50"/>
        <v>0</v>
      </c>
      <c r="M93" s="22">
        <f t="shared" si="50"/>
        <v>0</v>
      </c>
      <c r="N93" s="22">
        <f t="shared" si="50"/>
        <v>0</v>
      </c>
      <c r="O93" s="22">
        <f t="shared" si="50"/>
        <v>0</v>
      </c>
      <c r="P93" s="23">
        <f t="shared" si="49"/>
        <v>324797.74</v>
      </c>
    </row>
    <row r="94" spans="2:16" x14ac:dyDescent="0.25">
      <c r="B94" s="31" t="s">
        <v>193</v>
      </c>
      <c r="C94" s="31" t="s">
        <v>194</v>
      </c>
      <c r="D94" s="25">
        <v>0</v>
      </c>
      <c r="E94" s="25">
        <v>324797.74</v>
      </c>
      <c r="F94" s="25">
        <v>0</v>
      </c>
      <c r="G94" s="25">
        <v>0</v>
      </c>
      <c r="H94" s="25"/>
      <c r="I94" s="25"/>
      <c r="J94" s="25"/>
      <c r="K94" s="25">
        <v>0</v>
      </c>
      <c r="L94" s="25"/>
      <c r="M94" s="25"/>
      <c r="N94" s="25"/>
      <c r="O94" s="25"/>
      <c r="P94" s="32">
        <f t="shared" si="49"/>
        <v>324797.74</v>
      </c>
    </row>
    <row r="95" spans="2:16" x14ac:dyDescent="0.25">
      <c r="B95" s="21" t="s">
        <v>195</v>
      </c>
      <c r="C95" s="21" t="s">
        <v>196</v>
      </c>
      <c r="D95" s="22">
        <f>+D96</f>
        <v>129520.05</v>
      </c>
      <c r="E95" s="22">
        <f t="shared" ref="E95:O95" si="51">+E96</f>
        <v>140153.01999999999</v>
      </c>
      <c r="F95" s="22">
        <f t="shared" si="51"/>
        <v>198654.48</v>
      </c>
      <c r="G95" s="22">
        <f t="shared" si="51"/>
        <v>161121.01999999999</v>
      </c>
      <c r="H95" s="22">
        <f t="shared" si="51"/>
        <v>194814.77</v>
      </c>
      <c r="I95" s="22">
        <f t="shared" si="51"/>
        <v>204911.74</v>
      </c>
      <c r="J95" s="22">
        <f t="shared" si="51"/>
        <v>183745.84</v>
      </c>
      <c r="K95" s="22">
        <f t="shared" si="51"/>
        <v>187489</v>
      </c>
      <c r="L95" s="22">
        <f t="shared" si="51"/>
        <v>194180.29</v>
      </c>
      <c r="M95" s="22">
        <f t="shared" si="51"/>
        <v>184378.6</v>
      </c>
      <c r="N95" s="22">
        <f t="shared" si="51"/>
        <v>406351.96</v>
      </c>
      <c r="O95" s="22">
        <f t="shared" si="51"/>
        <v>229515.89</v>
      </c>
      <c r="P95" s="23">
        <f t="shared" si="49"/>
        <v>2414836.6600000006</v>
      </c>
    </row>
    <row r="96" spans="2:16" x14ac:dyDescent="0.25">
      <c r="B96" s="31" t="s">
        <v>197</v>
      </c>
      <c r="C96" s="31" t="s">
        <v>196</v>
      </c>
      <c r="D96" s="25">
        <v>129520.05</v>
      </c>
      <c r="E96" s="25">
        <v>140153.01999999999</v>
      </c>
      <c r="F96" s="25">
        <v>198654.48</v>
      </c>
      <c r="G96" s="25">
        <v>161121.01999999999</v>
      </c>
      <c r="H96" s="25">
        <v>194814.77</v>
      </c>
      <c r="I96" s="25">
        <v>204911.74</v>
      </c>
      <c r="J96" s="25">
        <v>183745.84</v>
      </c>
      <c r="K96" s="25">
        <v>187489</v>
      </c>
      <c r="L96" s="25">
        <v>194180.29</v>
      </c>
      <c r="M96" s="25">
        <v>184378.6</v>
      </c>
      <c r="N96" s="25">
        <v>406351.96</v>
      </c>
      <c r="O96" s="25">
        <v>229515.89</v>
      </c>
      <c r="P96" s="33">
        <f t="shared" si="49"/>
        <v>2414836.6600000006</v>
      </c>
    </row>
    <row r="97" spans="2:16" x14ac:dyDescent="0.25">
      <c r="B97" s="21" t="s">
        <v>27</v>
      </c>
      <c r="C97" s="21" t="s">
        <v>198</v>
      </c>
      <c r="D97" s="22">
        <f>+D98</f>
        <v>0</v>
      </c>
      <c r="E97" s="22">
        <f t="shared" ref="E97:O97" si="52">+E98</f>
        <v>973.5</v>
      </c>
      <c r="F97" s="22">
        <f t="shared" si="52"/>
        <v>3758.3</v>
      </c>
      <c r="G97" s="22">
        <f t="shared" si="52"/>
        <v>154925.35</v>
      </c>
      <c r="H97" s="22">
        <f t="shared" si="52"/>
        <v>0</v>
      </c>
      <c r="I97" s="22">
        <f t="shared" si="52"/>
        <v>9600</v>
      </c>
      <c r="J97" s="22">
        <f t="shared" si="52"/>
        <v>70408.52</v>
      </c>
      <c r="K97" s="22">
        <f t="shared" si="52"/>
        <v>60045.83</v>
      </c>
      <c r="L97" s="22">
        <f t="shared" si="52"/>
        <v>81959.399999999994</v>
      </c>
      <c r="M97" s="22">
        <f t="shared" si="52"/>
        <v>796.5</v>
      </c>
      <c r="N97" s="22">
        <f t="shared" si="52"/>
        <v>42141.23</v>
      </c>
      <c r="O97" s="22">
        <f t="shared" si="52"/>
        <v>0</v>
      </c>
      <c r="P97" s="23">
        <f t="shared" si="49"/>
        <v>424608.63</v>
      </c>
    </row>
    <row r="98" spans="2:16" x14ac:dyDescent="0.25">
      <c r="B98" s="21" t="s">
        <v>199</v>
      </c>
      <c r="C98" s="21" t="s">
        <v>200</v>
      </c>
      <c r="D98" s="22">
        <f>SUM(D99:D103)</f>
        <v>0</v>
      </c>
      <c r="E98" s="22">
        <f t="shared" ref="E98:O98" si="53">SUM(E99:E103)</f>
        <v>973.5</v>
      </c>
      <c r="F98" s="22">
        <f t="shared" si="53"/>
        <v>3758.3</v>
      </c>
      <c r="G98" s="22">
        <f t="shared" ref="G98" si="54">SUM(G99:G103)</f>
        <v>154925.35</v>
      </c>
      <c r="H98" s="22">
        <f t="shared" si="53"/>
        <v>0</v>
      </c>
      <c r="I98" s="22">
        <f t="shared" si="53"/>
        <v>9600</v>
      </c>
      <c r="J98" s="22">
        <f t="shared" si="53"/>
        <v>70408.52</v>
      </c>
      <c r="K98" s="22">
        <f t="shared" si="53"/>
        <v>60045.83</v>
      </c>
      <c r="L98" s="22">
        <f t="shared" si="53"/>
        <v>81959.399999999994</v>
      </c>
      <c r="M98" s="22">
        <f t="shared" si="53"/>
        <v>796.5</v>
      </c>
      <c r="N98" s="22">
        <f t="shared" si="53"/>
        <v>42141.23</v>
      </c>
      <c r="O98" s="22">
        <f t="shared" si="53"/>
        <v>0</v>
      </c>
      <c r="P98" s="23">
        <f t="shared" si="49"/>
        <v>424608.63</v>
      </c>
    </row>
    <row r="99" spans="2:16" x14ac:dyDescent="0.25">
      <c r="B99" s="31" t="s">
        <v>201</v>
      </c>
      <c r="C99" s="31" t="s">
        <v>202</v>
      </c>
      <c r="D99" s="25">
        <v>0</v>
      </c>
      <c r="E99" s="25">
        <v>0</v>
      </c>
      <c r="F99" s="25">
        <v>0</v>
      </c>
      <c r="G99" s="25">
        <v>0</v>
      </c>
      <c r="H99" s="25"/>
      <c r="I99" s="25"/>
      <c r="J99" s="25"/>
      <c r="K99" s="25"/>
      <c r="L99" s="25"/>
      <c r="M99" s="25"/>
      <c r="N99" s="25"/>
      <c r="O99" s="25"/>
      <c r="P99" s="33">
        <f t="shared" si="49"/>
        <v>0</v>
      </c>
    </row>
    <row r="100" spans="2:16" x14ac:dyDescent="0.25">
      <c r="B100" s="252" t="s">
        <v>574</v>
      </c>
      <c r="C100" s="252" t="s">
        <v>632</v>
      </c>
      <c r="D100" s="250"/>
      <c r="E100" s="250"/>
      <c r="F100" s="250"/>
      <c r="G100" s="250"/>
      <c r="H100" s="250"/>
      <c r="I100" s="250"/>
      <c r="J100" s="250"/>
      <c r="K100" s="250"/>
      <c r="L100" s="250">
        <v>66048</v>
      </c>
      <c r="M100" s="250">
        <v>796.5</v>
      </c>
      <c r="N100" s="22"/>
      <c r="O100" s="22">
        <v>0</v>
      </c>
      <c r="P100" s="33">
        <f t="shared" si="49"/>
        <v>66844.5</v>
      </c>
    </row>
    <row r="101" spans="2:16" x14ac:dyDescent="0.25">
      <c r="B101" s="31" t="s">
        <v>203</v>
      </c>
      <c r="C101" s="31" t="s">
        <v>204</v>
      </c>
      <c r="D101" s="25">
        <v>0</v>
      </c>
      <c r="E101" s="25">
        <v>973.5</v>
      </c>
      <c r="F101" s="25">
        <v>3758.3</v>
      </c>
      <c r="G101" s="25">
        <v>154925.35</v>
      </c>
      <c r="H101" s="25"/>
      <c r="I101" s="25">
        <v>9600</v>
      </c>
      <c r="J101" s="25">
        <v>70408.52</v>
      </c>
      <c r="K101" s="25">
        <v>40103.83</v>
      </c>
      <c r="L101" s="25">
        <v>15911.4</v>
      </c>
      <c r="M101" s="25"/>
      <c r="N101" s="25">
        <v>42141.23</v>
      </c>
      <c r="O101" s="25"/>
      <c r="P101" s="33">
        <f t="shared" si="49"/>
        <v>337822.13</v>
      </c>
    </row>
    <row r="102" spans="2:16" x14ac:dyDescent="0.25">
      <c r="B102" s="31" t="s">
        <v>598</v>
      </c>
      <c r="C102" s="31" t="s">
        <v>623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19942</v>
      </c>
      <c r="L102" s="25"/>
      <c r="M102" s="25"/>
      <c r="N102" s="25"/>
      <c r="O102" s="25"/>
      <c r="P102" s="33">
        <f t="shared" si="49"/>
        <v>19942</v>
      </c>
    </row>
    <row r="103" spans="2:16" x14ac:dyDescent="0.25">
      <c r="B103" s="31" t="s">
        <v>205</v>
      </c>
      <c r="C103" s="31" t="s">
        <v>206</v>
      </c>
      <c r="D103" s="25">
        <v>0</v>
      </c>
      <c r="E103" s="25">
        <v>0</v>
      </c>
      <c r="F103" s="25">
        <v>0</v>
      </c>
      <c r="G103" s="25">
        <v>0</v>
      </c>
      <c r="H103" s="25"/>
      <c r="I103" s="25"/>
      <c r="J103" s="25"/>
      <c r="K103" s="25">
        <v>0</v>
      </c>
      <c r="L103" s="25"/>
      <c r="M103" s="25"/>
      <c r="N103" s="25"/>
      <c r="O103" s="25"/>
      <c r="P103" s="33">
        <f t="shared" si="49"/>
        <v>0</v>
      </c>
    </row>
    <row r="104" spans="2:16" x14ac:dyDescent="0.25">
      <c r="B104" s="21" t="s">
        <v>29</v>
      </c>
      <c r="C104" s="21" t="s">
        <v>207</v>
      </c>
      <c r="D104" s="22">
        <f>+D105+D114</f>
        <v>60214.18</v>
      </c>
      <c r="E104" s="22">
        <f t="shared" ref="E104:N104" si="55">+E107+E109+E112+E114+E120</f>
        <v>258649.27</v>
      </c>
      <c r="F104" s="22">
        <f t="shared" si="55"/>
        <v>476472.3</v>
      </c>
      <c r="G104" s="22">
        <f t="shared" ref="G104" si="56">+G107+G109+G112+G114+G120</f>
        <v>58214.720000000001</v>
      </c>
      <c r="H104" s="22">
        <f t="shared" si="55"/>
        <v>210204.99</v>
      </c>
      <c r="I104" s="22">
        <f t="shared" si="55"/>
        <v>601622.22</v>
      </c>
      <c r="J104" s="22">
        <f t="shared" si="55"/>
        <v>303668.8</v>
      </c>
      <c r="K104" s="22">
        <f t="shared" si="55"/>
        <v>304405.76000000001</v>
      </c>
      <c r="L104" s="22">
        <f>+L105+L107+L109+L112+L114+L120</f>
        <v>295414.21999999997</v>
      </c>
      <c r="M104" s="22">
        <f t="shared" si="55"/>
        <v>351515.98</v>
      </c>
      <c r="N104" s="22">
        <f t="shared" si="55"/>
        <v>286338.25</v>
      </c>
      <c r="O104" s="22">
        <f>+O107+O112+O114</f>
        <v>21605778.66</v>
      </c>
      <c r="P104" s="23">
        <f t="shared" si="49"/>
        <v>24812499.350000001</v>
      </c>
    </row>
    <row r="105" spans="2:16" x14ac:dyDescent="0.25">
      <c r="B105" s="21" t="s">
        <v>624</v>
      </c>
      <c r="C105" s="21" t="s">
        <v>625</v>
      </c>
      <c r="D105" s="22">
        <f t="shared" ref="D105" si="57">+D106</f>
        <v>925.05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f t="shared" ref="K105" si="58">+K106</f>
        <v>0</v>
      </c>
      <c r="L105" s="22">
        <f>+L106</f>
        <v>1702.55</v>
      </c>
      <c r="M105" s="22"/>
      <c r="N105" s="22"/>
      <c r="O105" s="22"/>
      <c r="P105" s="23">
        <f t="shared" si="49"/>
        <v>2627.6</v>
      </c>
    </row>
    <row r="106" spans="2:16" x14ac:dyDescent="0.25">
      <c r="B106" s="31" t="s">
        <v>602</v>
      </c>
      <c r="C106" s="31" t="s">
        <v>625</v>
      </c>
      <c r="D106" s="25">
        <v>925.05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1702.55</v>
      </c>
      <c r="M106" s="25"/>
      <c r="N106" s="25"/>
      <c r="O106" s="25"/>
      <c r="P106" s="33">
        <f t="shared" si="49"/>
        <v>2627.6</v>
      </c>
    </row>
    <row r="107" spans="2:16" x14ac:dyDescent="0.25">
      <c r="B107" s="21" t="s">
        <v>208</v>
      </c>
      <c r="C107" s="21" t="s">
        <v>209</v>
      </c>
      <c r="D107" s="22">
        <f>+D108</f>
        <v>0</v>
      </c>
      <c r="E107" s="22">
        <f t="shared" ref="E107:O107" si="59">+E108</f>
        <v>1755</v>
      </c>
      <c r="F107" s="22">
        <f t="shared" si="59"/>
        <v>85820</v>
      </c>
      <c r="G107" s="22">
        <f t="shared" si="59"/>
        <v>12160</v>
      </c>
      <c r="H107" s="22">
        <f t="shared" si="59"/>
        <v>8080</v>
      </c>
      <c r="I107" s="22">
        <f t="shared" si="59"/>
        <v>30200</v>
      </c>
      <c r="J107" s="22">
        <f t="shared" si="59"/>
        <v>27800</v>
      </c>
      <c r="K107" s="22">
        <f t="shared" si="59"/>
        <v>5600</v>
      </c>
      <c r="L107" s="22">
        <f t="shared" si="59"/>
        <v>2800</v>
      </c>
      <c r="M107" s="22">
        <f t="shared" si="59"/>
        <v>28700</v>
      </c>
      <c r="N107" s="22">
        <f t="shared" si="59"/>
        <v>23700</v>
      </c>
      <c r="O107" s="22">
        <f t="shared" si="59"/>
        <v>12600</v>
      </c>
      <c r="P107" s="23">
        <f t="shared" si="49"/>
        <v>239215</v>
      </c>
    </row>
    <row r="108" spans="2:16" x14ac:dyDescent="0.25">
      <c r="B108" s="31" t="s">
        <v>210</v>
      </c>
      <c r="C108" s="31" t="s">
        <v>209</v>
      </c>
      <c r="D108" s="25">
        <v>0</v>
      </c>
      <c r="E108" s="25">
        <v>1755</v>
      </c>
      <c r="F108" s="25">
        <v>85820</v>
      </c>
      <c r="G108" s="25">
        <v>12160</v>
      </c>
      <c r="H108" s="25">
        <v>8080</v>
      </c>
      <c r="I108" s="25">
        <v>30200</v>
      </c>
      <c r="J108" s="25">
        <v>27800</v>
      </c>
      <c r="K108" s="25">
        <v>5600</v>
      </c>
      <c r="L108" s="25">
        <v>2800</v>
      </c>
      <c r="M108" s="25">
        <v>28700</v>
      </c>
      <c r="N108" s="25">
        <v>23700</v>
      </c>
      <c r="O108" s="25">
        <v>12600</v>
      </c>
      <c r="P108" s="33">
        <f t="shared" si="49"/>
        <v>239215</v>
      </c>
    </row>
    <row r="109" spans="2:16" x14ac:dyDescent="0.25">
      <c r="B109" s="21" t="s">
        <v>211</v>
      </c>
      <c r="C109" s="21" t="s">
        <v>212</v>
      </c>
      <c r="D109" s="22">
        <f>+D111</f>
        <v>0</v>
      </c>
      <c r="E109" s="22">
        <f t="shared" ref="E109:O109" si="60">+E111</f>
        <v>0</v>
      </c>
      <c r="F109" s="22">
        <f t="shared" si="60"/>
        <v>0</v>
      </c>
      <c r="G109" s="22">
        <f t="shared" si="60"/>
        <v>0</v>
      </c>
      <c r="H109" s="22">
        <f t="shared" si="60"/>
        <v>0</v>
      </c>
      <c r="I109" s="22">
        <f t="shared" si="60"/>
        <v>0</v>
      </c>
      <c r="J109" s="22">
        <f t="shared" si="60"/>
        <v>0</v>
      </c>
      <c r="K109" s="22">
        <f t="shared" si="60"/>
        <v>0</v>
      </c>
      <c r="L109" s="22">
        <f t="shared" si="60"/>
        <v>213344</v>
      </c>
      <c r="M109" s="22">
        <f t="shared" si="60"/>
        <v>0</v>
      </c>
      <c r="N109" s="22">
        <f t="shared" si="60"/>
        <v>0</v>
      </c>
      <c r="O109" s="22">
        <f t="shared" si="60"/>
        <v>0</v>
      </c>
      <c r="P109" s="23">
        <f t="shared" si="49"/>
        <v>213344</v>
      </c>
    </row>
    <row r="110" spans="2:16" x14ac:dyDescent="0.25">
      <c r="B110" s="31" t="s">
        <v>576</v>
      </c>
      <c r="C110" s="31" t="s">
        <v>577</v>
      </c>
      <c r="D110" s="22"/>
      <c r="E110" s="22"/>
      <c r="F110" s="22"/>
      <c r="G110" s="22"/>
      <c r="H110" s="22"/>
      <c r="I110" s="22"/>
      <c r="J110" s="22"/>
      <c r="K110" s="22">
        <v>0</v>
      </c>
      <c r="L110" s="22"/>
      <c r="M110" s="22"/>
      <c r="N110" s="22"/>
      <c r="O110" s="22"/>
      <c r="P110" s="23">
        <f t="shared" si="49"/>
        <v>0</v>
      </c>
    </row>
    <row r="111" spans="2:16" x14ac:dyDescent="0.25">
      <c r="B111" s="31" t="s">
        <v>213</v>
      </c>
      <c r="C111" s="31" t="s">
        <v>214</v>
      </c>
      <c r="D111" s="25">
        <v>0</v>
      </c>
      <c r="E111" s="25">
        <v>0</v>
      </c>
      <c r="F111" s="25">
        <v>0</v>
      </c>
      <c r="G111" s="25">
        <v>0</v>
      </c>
      <c r="H111" s="25"/>
      <c r="I111" s="25"/>
      <c r="J111" s="25"/>
      <c r="K111" s="25">
        <v>0</v>
      </c>
      <c r="L111" s="25">
        <v>213344</v>
      </c>
      <c r="M111" s="25"/>
      <c r="N111" s="25"/>
      <c r="O111" s="25"/>
      <c r="P111" s="33">
        <f t="shared" si="49"/>
        <v>213344</v>
      </c>
    </row>
    <row r="112" spans="2:16" x14ac:dyDescent="0.25">
      <c r="B112" s="21" t="s">
        <v>215</v>
      </c>
      <c r="C112" s="21" t="s">
        <v>216</v>
      </c>
      <c r="D112" s="22">
        <f>+D113</f>
        <v>0</v>
      </c>
      <c r="E112" s="22">
        <f t="shared" ref="E112:O112" si="61">+E113</f>
        <v>0</v>
      </c>
      <c r="F112" s="22">
        <f t="shared" si="61"/>
        <v>25395.37</v>
      </c>
      <c r="G112" s="22">
        <f t="shared" si="61"/>
        <v>0</v>
      </c>
      <c r="H112" s="22">
        <f t="shared" si="61"/>
        <v>0</v>
      </c>
      <c r="I112" s="22">
        <f t="shared" si="61"/>
        <v>451999</v>
      </c>
      <c r="J112" s="22">
        <f t="shared" si="61"/>
        <v>0</v>
      </c>
      <c r="K112" s="22">
        <f t="shared" si="61"/>
        <v>0</v>
      </c>
      <c r="L112" s="22">
        <f t="shared" si="61"/>
        <v>0</v>
      </c>
      <c r="M112" s="22">
        <f t="shared" si="61"/>
        <v>0</v>
      </c>
      <c r="N112" s="22">
        <f t="shared" si="61"/>
        <v>0</v>
      </c>
      <c r="O112" s="22">
        <f t="shared" si="61"/>
        <v>21208978</v>
      </c>
      <c r="P112" s="23">
        <f t="shared" si="49"/>
        <v>21686372.370000001</v>
      </c>
    </row>
    <row r="113" spans="2:21" x14ac:dyDescent="0.25">
      <c r="B113" s="31" t="s">
        <v>217</v>
      </c>
      <c r="C113" s="31" t="s">
        <v>218</v>
      </c>
      <c r="D113" s="25">
        <v>0</v>
      </c>
      <c r="E113" s="25">
        <v>0</v>
      </c>
      <c r="F113" s="25">
        <v>25395.37</v>
      </c>
      <c r="G113" s="25">
        <v>0</v>
      </c>
      <c r="H113" s="25"/>
      <c r="I113" s="25">
        <v>451999</v>
      </c>
      <c r="J113" s="25"/>
      <c r="K113" s="25">
        <v>0</v>
      </c>
      <c r="L113" s="25"/>
      <c r="M113" s="25"/>
      <c r="N113" s="25"/>
      <c r="O113" s="25">
        <v>21208978</v>
      </c>
      <c r="P113" s="32">
        <f t="shared" si="49"/>
        <v>21686372.370000001</v>
      </c>
    </row>
    <row r="114" spans="2:21" x14ac:dyDescent="0.25">
      <c r="B114" s="21" t="s">
        <v>219</v>
      </c>
      <c r="C114" s="21" t="s">
        <v>220</v>
      </c>
      <c r="D114" s="22">
        <f>SUM(D115:D119)</f>
        <v>59289.13</v>
      </c>
      <c r="E114" s="22">
        <f t="shared" ref="E114:O114" si="62">SUM(E115:E119)</f>
        <v>256894.27</v>
      </c>
      <c r="F114" s="22">
        <f>SUM(F115:F119)</f>
        <v>365256.93</v>
      </c>
      <c r="G114" s="22">
        <f>SUM(G115:G119)</f>
        <v>46054.720000000001</v>
      </c>
      <c r="H114" s="22">
        <f t="shared" si="62"/>
        <v>202124.99</v>
      </c>
      <c r="I114" s="22">
        <f t="shared" si="62"/>
        <v>119423.22</v>
      </c>
      <c r="J114" s="22">
        <f t="shared" si="62"/>
        <v>275868.79999999999</v>
      </c>
      <c r="K114" s="22">
        <f t="shared" si="62"/>
        <v>298805.76000000001</v>
      </c>
      <c r="L114" s="22">
        <f t="shared" si="62"/>
        <v>77567.67</v>
      </c>
      <c r="M114" s="22">
        <f t="shared" si="62"/>
        <v>322815.98</v>
      </c>
      <c r="N114" s="22">
        <f t="shared" si="62"/>
        <v>262638.25</v>
      </c>
      <c r="O114" s="22">
        <f t="shared" si="62"/>
        <v>384200.66000000003</v>
      </c>
      <c r="P114" s="23">
        <f t="shared" si="49"/>
        <v>2670940.38</v>
      </c>
    </row>
    <row r="115" spans="2:21" x14ac:dyDescent="0.25">
      <c r="B115" s="31" t="s">
        <v>221</v>
      </c>
      <c r="C115" s="31" t="s">
        <v>222</v>
      </c>
      <c r="D115" s="25">
        <v>0</v>
      </c>
      <c r="E115" s="25">
        <v>0</v>
      </c>
      <c r="F115" s="25">
        <v>0</v>
      </c>
      <c r="G115" s="25">
        <v>0</v>
      </c>
      <c r="H115" s="25"/>
      <c r="I115" s="25"/>
      <c r="J115" s="25"/>
      <c r="K115" s="25"/>
      <c r="L115" s="25"/>
      <c r="M115" s="25"/>
      <c r="N115" s="25"/>
      <c r="O115" s="25"/>
      <c r="P115" s="33">
        <f t="shared" si="49"/>
        <v>0</v>
      </c>
    </row>
    <row r="116" spans="2:21" x14ac:dyDescent="0.25">
      <c r="B116" s="31" t="s">
        <v>223</v>
      </c>
      <c r="C116" s="31" t="s">
        <v>224</v>
      </c>
      <c r="D116" s="25">
        <v>0</v>
      </c>
      <c r="E116" s="25">
        <v>58410</v>
      </c>
      <c r="F116" s="25">
        <v>86140</v>
      </c>
      <c r="G116" s="25">
        <v>10620</v>
      </c>
      <c r="H116" s="25">
        <v>22000.06</v>
      </c>
      <c r="I116" s="25"/>
      <c r="J116" s="25"/>
      <c r="K116" s="25">
        <v>66280.03</v>
      </c>
      <c r="L116" s="25"/>
      <c r="M116" s="25">
        <v>59000</v>
      </c>
      <c r="N116" s="25"/>
      <c r="O116" s="25">
        <v>157411.53</v>
      </c>
      <c r="P116" s="33">
        <f t="shared" si="49"/>
        <v>459861.62</v>
      </c>
    </row>
    <row r="117" spans="2:21" x14ac:dyDescent="0.25">
      <c r="B117" s="31" t="s">
        <v>225</v>
      </c>
      <c r="C117" s="31" t="s">
        <v>226</v>
      </c>
      <c r="D117" s="25">
        <v>0</v>
      </c>
      <c r="E117" s="25">
        <v>42711</v>
      </c>
      <c r="F117" s="25">
        <v>185100</v>
      </c>
      <c r="G117" s="25">
        <v>-84100</v>
      </c>
      <c r="H117" s="25"/>
      <c r="I117" s="25">
        <v>10100</v>
      </c>
      <c r="J117" s="25">
        <v>15000</v>
      </c>
      <c r="K117" s="25">
        <v>120000</v>
      </c>
      <c r="L117" s="25">
        <v>8615</v>
      </c>
      <c r="M117" s="25">
        <v>204800</v>
      </c>
      <c r="N117" s="25">
        <v>179700</v>
      </c>
      <c r="O117" s="25"/>
      <c r="P117" s="33">
        <f t="shared" si="49"/>
        <v>681926</v>
      </c>
    </row>
    <row r="118" spans="2:21" x14ac:dyDescent="0.25">
      <c r="B118" s="31" t="s">
        <v>600</v>
      </c>
      <c r="C118" s="31" t="s">
        <v>626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16708.8</v>
      </c>
      <c r="L118" s="25"/>
      <c r="M118" s="25"/>
      <c r="N118" s="25"/>
      <c r="O118" s="25"/>
      <c r="P118" s="33">
        <f t="shared" si="49"/>
        <v>16708.8</v>
      </c>
    </row>
    <row r="119" spans="2:21" x14ac:dyDescent="0.25">
      <c r="B119" s="31" t="s">
        <v>227</v>
      </c>
      <c r="C119" s="31" t="s">
        <v>228</v>
      </c>
      <c r="D119" s="25">
        <v>59289.13</v>
      </c>
      <c r="E119" s="25">
        <v>155773.26999999999</v>
      </c>
      <c r="F119" s="25">
        <v>94016.93</v>
      </c>
      <c r="G119" s="25">
        <v>119534.72</v>
      </c>
      <c r="H119" s="25">
        <v>180124.93</v>
      </c>
      <c r="I119" s="25">
        <v>109323.22</v>
      </c>
      <c r="J119" s="25">
        <v>260868.8</v>
      </c>
      <c r="K119" s="25">
        <v>95816.93</v>
      </c>
      <c r="L119" s="25">
        <v>68952.67</v>
      </c>
      <c r="M119" s="25">
        <v>59015.98</v>
      </c>
      <c r="N119" s="25">
        <v>82938.25</v>
      </c>
      <c r="O119" s="25">
        <v>226789.13</v>
      </c>
      <c r="P119" s="33">
        <f t="shared" si="49"/>
        <v>1512443.96</v>
      </c>
    </row>
    <row r="120" spans="2:21" x14ac:dyDescent="0.25">
      <c r="B120" s="21" t="s">
        <v>229</v>
      </c>
      <c r="C120" s="21" t="s">
        <v>230</v>
      </c>
      <c r="D120" s="22">
        <f>+D121</f>
        <v>0</v>
      </c>
      <c r="E120" s="22">
        <f t="shared" ref="E120:O120" si="63">+E121</f>
        <v>0</v>
      </c>
      <c r="F120" s="22">
        <f t="shared" si="63"/>
        <v>0</v>
      </c>
      <c r="G120" s="22">
        <f t="shared" si="63"/>
        <v>0</v>
      </c>
      <c r="H120" s="22">
        <f t="shared" si="63"/>
        <v>0</v>
      </c>
      <c r="I120" s="22">
        <f t="shared" si="63"/>
        <v>0</v>
      </c>
      <c r="J120" s="22">
        <f t="shared" si="63"/>
        <v>0</v>
      </c>
      <c r="K120" s="22">
        <f t="shared" si="63"/>
        <v>0</v>
      </c>
      <c r="L120" s="22">
        <f t="shared" si="63"/>
        <v>0</v>
      </c>
      <c r="M120" s="22">
        <f t="shared" si="63"/>
        <v>0</v>
      </c>
      <c r="N120" s="22">
        <f t="shared" si="63"/>
        <v>0</v>
      </c>
      <c r="O120" s="22">
        <f t="shared" si="63"/>
        <v>0</v>
      </c>
      <c r="P120" s="23">
        <f t="shared" si="49"/>
        <v>0</v>
      </c>
    </row>
    <row r="121" spans="2:21" x14ac:dyDescent="0.25">
      <c r="B121" s="31" t="s">
        <v>231</v>
      </c>
      <c r="C121" s="31" t="s">
        <v>232</v>
      </c>
      <c r="D121" s="25">
        <v>0</v>
      </c>
      <c r="E121" s="25">
        <v>0</v>
      </c>
      <c r="F121" s="25">
        <v>0</v>
      </c>
      <c r="G121" s="25">
        <v>0</v>
      </c>
      <c r="H121" s="25"/>
      <c r="I121" s="25"/>
      <c r="J121" s="25"/>
      <c r="K121" s="25"/>
      <c r="L121" s="25"/>
      <c r="M121" s="25"/>
      <c r="N121" s="25"/>
      <c r="O121" s="25"/>
      <c r="P121" s="33">
        <f t="shared" si="49"/>
        <v>0</v>
      </c>
    </row>
    <row r="122" spans="2:21" x14ac:dyDescent="0.25">
      <c r="B122" s="21" t="s">
        <v>31</v>
      </c>
      <c r="C122" s="21" t="s">
        <v>233</v>
      </c>
      <c r="D122" s="22">
        <f>+D123+D125</f>
        <v>2520.1</v>
      </c>
      <c r="E122" s="22">
        <f t="shared" ref="E122:O122" si="64">+E123+E125</f>
        <v>220236.97</v>
      </c>
      <c r="F122" s="22">
        <f t="shared" si="64"/>
        <v>70397.03</v>
      </c>
      <c r="G122" s="22">
        <f t="shared" si="64"/>
        <v>0</v>
      </c>
      <c r="H122" s="22">
        <f t="shared" si="64"/>
        <v>164692.6</v>
      </c>
      <c r="I122" s="22">
        <f t="shared" si="64"/>
        <v>0</v>
      </c>
      <c r="J122" s="22">
        <f t="shared" si="64"/>
        <v>0</v>
      </c>
      <c r="K122" s="22">
        <f t="shared" si="64"/>
        <v>265500</v>
      </c>
      <c r="L122" s="22">
        <f t="shared" si="64"/>
        <v>134449.20000000001</v>
      </c>
      <c r="M122" s="22">
        <f t="shared" si="64"/>
        <v>75614.399999999994</v>
      </c>
      <c r="N122" s="22">
        <f t="shared" si="64"/>
        <v>0</v>
      </c>
      <c r="O122" s="22">
        <f t="shared" si="64"/>
        <v>219539</v>
      </c>
      <c r="P122" s="251">
        <f t="shared" si="49"/>
        <v>1152949.2999999998</v>
      </c>
    </row>
    <row r="123" spans="2:21" x14ac:dyDescent="0.25">
      <c r="B123" s="21" t="s">
        <v>234</v>
      </c>
      <c r="C123" s="21" t="s">
        <v>235</v>
      </c>
      <c r="D123" s="22">
        <f>+D124</f>
        <v>0</v>
      </c>
      <c r="E123" s="22">
        <f t="shared" ref="E123:O123" si="65">+E124</f>
        <v>0</v>
      </c>
      <c r="F123" s="22">
        <f t="shared" si="65"/>
        <v>0</v>
      </c>
      <c r="G123" s="22">
        <f t="shared" si="65"/>
        <v>0</v>
      </c>
      <c r="H123" s="22">
        <f t="shared" si="65"/>
        <v>0</v>
      </c>
      <c r="I123" s="22">
        <f t="shared" si="65"/>
        <v>0</v>
      </c>
      <c r="J123" s="22">
        <f t="shared" si="65"/>
        <v>0</v>
      </c>
      <c r="K123" s="22">
        <f t="shared" si="65"/>
        <v>0</v>
      </c>
      <c r="L123" s="22">
        <f t="shared" si="65"/>
        <v>0</v>
      </c>
      <c r="M123" s="22">
        <f t="shared" si="65"/>
        <v>0</v>
      </c>
      <c r="N123" s="22">
        <f t="shared" si="65"/>
        <v>0</v>
      </c>
      <c r="O123" s="22">
        <f t="shared" si="65"/>
        <v>0</v>
      </c>
      <c r="P123" s="23">
        <f t="shared" si="49"/>
        <v>0</v>
      </c>
    </row>
    <row r="124" spans="2:21" x14ac:dyDescent="0.25">
      <c r="B124" s="31" t="s">
        <v>236</v>
      </c>
      <c r="C124" s="31" t="s">
        <v>235</v>
      </c>
      <c r="D124" s="25">
        <v>0</v>
      </c>
      <c r="E124" s="25">
        <v>0</v>
      </c>
      <c r="F124" s="25">
        <v>0</v>
      </c>
      <c r="G124" s="25">
        <v>0</v>
      </c>
      <c r="H124" s="25"/>
      <c r="I124" s="25"/>
      <c r="J124" s="25"/>
      <c r="K124" s="25"/>
      <c r="L124" s="25"/>
      <c r="M124" s="25"/>
      <c r="N124" s="25"/>
      <c r="O124" s="25"/>
      <c r="P124" s="33">
        <f t="shared" si="49"/>
        <v>0</v>
      </c>
    </row>
    <row r="125" spans="2:21" x14ac:dyDescent="0.25">
      <c r="B125" s="21" t="s">
        <v>237</v>
      </c>
      <c r="C125" s="21" t="s">
        <v>238</v>
      </c>
      <c r="D125" s="22">
        <f>+D126</f>
        <v>2520.1</v>
      </c>
      <c r="E125" s="22">
        <f t="shared" ref="E125:O125" si="66">+E126</f>
        <v>220236.97</v>
      </c>
      <c r="F125" s="22">
        <f t="shared" si="66"/>
        <v>70397.03</v>
      </c>
      <c r="G125" s="22">
        <f t="shared" si="66"/>
        <v>0</v>
      </c>
      <c r="H125" s="22">
        <f t="shared" si="66"/>
        <v>164692.6</v>
      </c>
      <c r="I125" s="22">
        <f t="shared" si="66"/>
        <v>0</v>
      </c>
      <c r="J125" s="22">
        <f t="shared" si="66"/>
        <v>0</v>
      </c>
      <c r="K125" s="22">
        <f t="shared" si="66"/>
        <v>265500</v>
      </c>
      <c r="L125" s="22">
        <f t="shared" si="66"/>
        <v>134449.20000000001</v>
      </c>
      <c r="M125" s="22">
        <f t="shared" si="66"/>
        <v>75614.399999999994</v>
      </c>
      <c r="N125" s="22">
        <f t="shared" si="66"/>
        <v>0</v>
      </c>
      <c r="O125" s="22">
        <f t="shared" si="66"/>
        <v>219539</v>
      </c>
      <c r="P125" s="23">
        <f t="shared" si="49"/>
        <v>1152949.2999999998</v>
      </c>
    </row>
    <row r="126" spans="2:21" ht="15.75" thickBot="1" x14ac:dyDescent="0.3">
      <c r="B126" s="31" t="s">
        <v>239</v>
      </c>
      <c r="C126" s="31" t="s">
        <v>238</v>
      </c>
      <c r="D126" s="25">
        <v>2520.1</v>
      </c>
      <c r="E126" s="25">
        <v>220236.97</v>
      </c>
      <c r="F126" s="25">
        <v>70397.03</v>
      </c>
      <c r="G126" s="25">
        <v>0</v>
      </c>
      <c r="H126" s="25">
        <v>164692.6</v>
      </c>
      <c r="I126" s="25"/>
      <c r="J126" s="25"/>
      <c r="K126" s="25">
        <v>265500</v>
      </c>
      <c r="L126" s="25">
        <v>134449.20000000001</v>
      </c>
      <c r="M126" s="25">
        <v>75614.399999999994</v>
      </c>
      <c r="N126" s="25"/>
      <c r="O126" s="25">
        <v>219539</v>
      </c>
      <c r="P126" s="33">
        <f t="shared" si="49"/>
        <v>1152949.2999999998</v>
      </c>
    </row>
    <row r="127" spans="2:21" s="17" customFormat="1" x14ac:dyDescent="0.25">
      <c r="B127" s="14">
        <v>2.2999999999999998</v>
      </c>
      <c r="C127" s="15" t="s">
        <v>240</v>
      </c>
      <c r="D127" s="16">
        <f t="shared" ref="D127:N127" si="67">+D128+D133+D140+D152+D157+D161+D170</f>
        <v>223497.09</v>
      </c>
      <c r="E127" s="16">
        <f t="shared" si="67"/>
        <v>252602.44</v>
      </c>
      <c r="F127" s="16">
        <f t="shared" si="67"/>
        <v>399775.1</v>
      </c>
      <c r="G127" s="16">
        <f t="shared" si="67"/>
        <v>984984</v>
      </c>
      <c r="H127" s="16">
        <f t="shared" si="67"/>
        <v>374153.86</v>
      </c>
      <c r="I127" s="16">
        <f>+I133+I136+I162</f>
        <v>473584.87999999995</v>
      </c>
      <c r="J127" s="16">
        <f t="shared" si="67"/>
        <v>853150</v>
      </c>
      <c r="K127" s="16">
        <f t="shared" si="67"/>
        <v>832432.22</v>
      </c>
      <c r="L127" s="16">
        <f>+L130+L137+L144+L156+L159+L163+L169+L172+L176+L178+L180+L187</f>
        <v>504964.51999999996</v>
      </c>
      <c r="M127" s="16">
        <f t="shared" si="67"/>
        <v>436359.33999999997</v>
      </c>
      <c r="N127" s="16">
        <f t="shared" si="67"/>
        <v>251949.81</v>
      </c>
      <c r="O127" s="16">
        <f>+O128+O133+O158+O161+O170</f>
        <v>1792754.28</v>
      </c>
      <c r="P127" s="16">
        <f t="shared" si="49"/>
        <v>7380207.5399999991</v>
      </c>
      <c r="Q127" s="49"/>
      <c r="R127" s="49"/>
      <c r="S127" s="49"/>
      <c r="T127" s="49"/>
      <c r="U127" s="49"/>
    </row>
    <row r="128" spans="2:21" x14ac:dyDescent="0.25">
      <c r="B128" s="21" t="s">
        <v>34</v>
      </c>
      <c r="C128" s="21" t="s">
        <v>241</v>
      </c>
      <c r="D128" s="22">
        <f>+D129+D131</f>
        <v>459.85</v>
      </c>
      <c r="E128" s="22">
        <f t="shared" ref="E128:N128" si="68">+E129+E131</f>
        <v>32252.44</v>
      </c>
      <c r="F128" s="22">
        <f t="shared" si="68"/>
        <v>19932.5</v>
      </c>
      <c r="G128" s="22">
        <f t="shared" ref="G128" si="69">+G129+G131</f>
        <v>0</v>
      </c>
      <c r="H128" s="22">
        <f t="shared" si="68"/>
        <v>54652.32</v>
      </c>
      <c r="I128" s="22">
        <f t="shared" si="68"/>
        <v>0</v>
      </c>
      <c r="J128" s="22">
        <f t="shared" si="68"/>
        <v>0</v>
      </c>
      <c r="K128" s="22">
        <f t="shared" si="68"/>
        <v>21250</v>
      </c>
      <c r="L128" s="22">
        <f t="shared" si="68"/>
        <v>86109.88</v>
      </c>
      <c r="M128" s="22">
        <f t="shared" si="68"/>
        <v>8400</v>
      </c>
      <c r="N128" s="22">
        <f t="shared" si="68"/>
        <v>0</v>
      </c>
      <c r="O128" s="22">
        <f>+O129+O131</f>
        <v>22320</v>
      </c>
      <c r="P128" s="23">
        <f t="shared" si="49"/>
        <v>245376.99</v>
      </c>
    </row>
    <row r="129" spans="2:16" x14ac:dyDescent="0.25">
      <c r="B129" s="21" t="s">
        <v>242</v>
      </c>
      <c r="C129" s="21" t="s">
        <v>243</v>
      </c>
      <c r="D129" s="22">
        <f>+D130</f>
        <v>459.85</v>
      </c>
      <c r="E129" s="22">
        <f t="shared" ref="E129:O129" si="70">+E130</f>
        <v>32252.44</v>
      </c>
      <c r="F129" s="22">
        <f t="shared" si="70"/>
        <v>19932.5</v>
      </c>
      <c r="G129" s="22">
        <f t="shared" si="70"/>
        <v>0</v>
      </c>
      <c r="H129" s="22">
        <f t="shared" si="70"/>
        <v>54652.32</v>
      </c>
      <c r="I129" s="22">
        <f t="shared" si="70"/>
        <v>0</v>
      </c>
      <c r="J129" s="22">
        <f t="shared" si="70"/>
        <v>0</v>
      </c>
      <c r="K129" s="22">
        <f t="shared" si="70"/>
        <v>21250</v>
      </c>
      <c r="L129" s="22">
        <f t="shared" si="70"/>
        <v>86109.88</v>
      </c>
      <c r="M129" s="22">
        <f t="shared" si="70"/>
        <v>8400</v>
      </c>
      <c r="N129" s="22">
        <f t="shared" si="70"/>
        <v>0</v>
      </c>
      <c r="O129" s="22">
        <f t="shared" si="70"/>
        <v>11700</v>
      </c>
      <c r="P129" s="23">
        <f t="shared" si="49"/>
        <v>234756.99</v>
      </c>
    </row>
    <row r="130" spans="2:16" x14ac:dyDescent="0.25">
      <c r="B130" s="46" t="s">
        <v>244</v>
      </c>
      <c r="C130" s="31" t="s">
        <v>243</v>
      </c>
      <c r="D130" s="25">
        <v>459.85</v>
      </c>
      <c r="E130" s="25">
        <v>32252.44</v>
      </c>
      <c r="F130" s="25">
        <v>19932.5</v>
      </c>
      <c r="G130" s="25">
        <v>0</v>
      </c>
      <c r="H130" s="25">
        <v>54652.32</v>
      </c>
      <c r="I130" s="25">
        <v>0</v>
      </c>
      <c r="J130" s="25">
        <v>0</v>
      </c>
      <c r="K130" s="25">
        <v>21250</v>
      </c>
      <c r="L130" s="25">
        <v>86109.88</v>
      </c>
      <c r="M130" s="25">
        <v>8400</v>
      </c>
      <c r="N130" s="25"/>
      <c r="O130" s="25">
        <v>11700</v>
      </c>
      <c r="P130" s="37">
        <f t="shared" si="49"/>
        <v>234756.99</v>
      </c>
    </row>
    <row r="131" spans="2:16" x14ac:dyDescent="0.25">
      <c r="B131" s="21" t="s">
        <v>245</v>
      </c>
      <c r="C131" s="21" t="s">
        <v>246</v>
      </c>
      <c r="D131" s="22">
        <f>+D132</f>
        <v>0</v>
      </c>
      <c r="E131" s="22">
        <f t="shared" ref="E131:O131" si="71">+E132</f>
        <v>0</v>
      </c>
      <c r="F131" s="22">
        <f t="shared" si="71"/>
        <v>0</v>
      </c>
      <c r="G131" s="22">
        <f t="shared" si="71"/>
        <v>0</v>
      </c>
      <c r="H131" s="22">
        <f t="shared" si="71"/>
        <v>0</v>
      </c>
      <c r="I131" s="22">
        <f t="shared" si="71"/>
        <v>0</v>
      </c>
      <c r="J131" s="22">
        <f t="shared" si="71"/>
        <v>0</v>
      </c>
      <c r="K131" s="22">
        <f t="shared" si="71"/>
        <v>0</v>
      </c>
      <c r="L131" s="22">
        <f t="shared" si="71"/>
        <v>0</v>
      </c>
      <c r="M131" s="22">
        <f t="shared" si="71"/>
        <v>0</v>
      </c>
      <c r="N131" s="22">
        <f t="shared" si="71"/>
        <v>0</v>
      </c>
      <c r="O131" s="22">
        <f t="shared" si="71"/>
        <v>10620</v>
      </c>
      <c r="P131" s="23">
        <f t="shared" si="49"/>
        <v>10620</v>
      </c>
    </row>
    <row r="132" spans="2:16" x14ac:dyDescent="0.25">
      <c r="B132" s="46" t="s">
        <v>247</v>
      </c>
      <c r="C132" s="31" t="s">
        <v>248</v>
      </c>
      <c r="D132" s="25">
        <v>0</v>
      </c>
      <c r="E132" s="25">
        <v>0</v>
      </c>
      <c r="F132" s="25">
        <v>0</v>
      </c>
      <c r="G132" s="25">
        <v>0</v>
      </c>
      <c r="H132" s="25"/>
      <c r="I132" s="25"/>
      <c r="J132" s="25"/>
      <c r="K132" s="25">
        <v>0</v>
      </c>
      <c r="L132" s="25"/>
      <c r="M132" s="25"/>
      <c r="N132" s="25"/>
      <c r="O132" s="25">
        <v>10620</v>
      </c>
      <c r="P132" s="33">
        <f t="shared" si="49"/>
        <v>10620</v>
      </c>
    </row>
    <row r="133" spans="2:16" x14ac:dyDescent="0.25">
      <c r="B133" s="21" t="s">
        <v>36</v>
      </c>
      <c r="C133" s="21" t="s">
        <v>249</v>
      </c>
      <c r="D133" s="22">
        <f>+D134+D136</f>
        <v>0</v>
      </c>
      <c r="E133" s="22">
        <f t="shared" ref="E133:O133" si="72">+E134+E136</f>
        <v>0</v>
      </c>
      <c r="F133" s="22">
        <f t="shared" si="72"/>
        <v>0</v>
      </c>
      <c r="G133" s="22">
        <f t="shared" ref="G133" si="73">+G134+G136</f>
        <v>590</v>
      </c>
      <c r="H133" s="22">
        <f t="shared" si="72"/>
        <v>21122</v>
      </c>
      <c r="I133" s="22">
        <f>+I139</f>
        <v>61600</v>
      </c>
      <c r="J133" s="22">
        <f t="shared" si="72"/>
        <v>0</v>
      </c>
      <c r="K133" s="22">
        <f t="shared" si="72"/>
        <v>0</v>
      </c>
      <c r="L133" s="22">
        <f t="shared" si="72"/>
        <v>31199.96</v>
      </c>
      <c r="M133" s="22">
        <f t="shared" si="72"/>
        <v>0</v>
      </c>
      <c r="N133" s="22">
        <f t="shared" si="72"/>
        <v>0</v>
      </c>
      <c r="O133" s="22">
        <f t="shared" si="72"/>
        <v>129564</v>
      </c>
      <c r="P133" s="22">
        <f>+P134+P136+P138</f>
        <v>494025.79</v>
      </c>
    </row>
    <row r="134" spans="2:16" x14ac:dyDescent="0.25">
      <c r="B134" s="21" t="s">
        <v>250</v>
      </c>
      <c r="C134" s="21" t="s">
        <v>251</v>
      </c>
      <c r="D134" s="22">
        <f>+D135</f>
        <v>0</v>
      </c>
      <c r="E134" s="22">
        <f t="shared" ref="E134:O134" si="74">+E135</f>
        <v>0</v>
      </c>
      <c r="F134" s="22">
        <f t="shared" si="74"/>
        <v>0</v>
      </c>
      <c r="G134" s="22">
        <f t="shared" si="74"/>
        <v>590</v>
      </c>
      <c r="H134" s="22">
        <f t="shared" si="74"/>
        <v>21122</v>
      </c>
      <c r="I134" s="22">
        <f t="shared" si="74"/>
        <v>0</v>
      </c>
      <c r="J134" s="22">
        <f t="shared" si="74"/>
        <v>0</v>
      </c>
      <c r="K134" s="22">
        <f t="shared" si="74"/>
        <v>0</v>
      </c>
      <c r="L134" s="22">
        <f t="shared" si="74"/>
        <v>0</v>
      </c>
      <c r="M134" s="22">
        <f t="shared" si="74"/>
        <v>0</v>
      </c>
      <c r="N134" s="22">
        <f t="shared" si="74"/>
        <v>0</v>
      </c>
      <c r="O134" s="22">
        <f t="shared" si="74"/>
        <v>0</v>
      </c>
      <c r="P134" s="23">
        <f t="shared" si="49"/>
        <v>21712</v>
      </c>
    </row>
    <row r="135" spans="2:16" x14ac:dyDescent="0.25">
      <c r="B135" s="46" t="s">
        <v>252</v>
      </c>
      <c r="C135" s="31" t="s">
        <v>251</v>
      </c>
      <c r="D135" s="25">
        <v>0</v>
      </c>
      <c r="E135" s="25">
        <v>0</v>
      </c>
      <c r="F135" s="25">
        <v>0</v>
      </c>
      <c r="G135" s="25">
        <v>590</v>
      </c>
      <c r="H135" s="25">
        <v>21122</v>
      </c>
      <c r="I135" s="25"/>
      <c r="J135" s="25"/>
      <c r="K135" s="25">
        <v>0</v>
      </c>
      <c r="L135" s="25"/>
      <c r="M135" s="25"/>
      <c r="N135" s="25"/>
      <c r="O135" s="25"/>
      <c r="P135" s="33">
        <f t="shared" si="49"/>
        <v>21712</v>
      </c>
    </row>
    <row r="136" spans="2:16" x14ac:dyDescent="0.25">
      <c r="B136" s="21" t="s">
        <v>253</v>
      </c>
      <c r="C136" s="21" t="s">
        <v>254</v>
      </c>
      <c r="D136" s="22">
        <f>+D137</f>
        <v>0</v>
      </c>
      <c r="E136" s="22">
        <f t="shared" ref="E136:O136" si="75">+E137</f>
        <v>0</v>
      </c>
      <c r="F136" s="22">
        <f t="shared" si="75"/>
        <v>0</v>
      </c>
      <c r="G136" s="22">
        <f t="shared" si="75"/>
        <v>0</v>
      </c>
      <c r="H136" s="22">
        <f t="shared" si="75"/>
        <v>0</v>
      </c>
      <c r="I136" s="22">
        <f t="shared" si="75"/>
        <v>249949.83</v>
      </c>
      <c r="J136" s="22">
        <f t="shared" si="75"/>
        <v>0</v>
      </c>
      <c r="K136" s="22">
        <f t="shared" si="75"/>
        <v>0</v>
      </c>
      <c r="L136" s="22">
        <f t="shared" si="75"/>
        <v>31199.96</v>
      </c>
      <c r="M136" s="22">
        <f t="shared" si="75"/>
        <v>0</v>
      </c>
      <c r="N136" s="22">
        <f t="shared" si="75"/>
        <v>0</v>
      </c>
      <c r="O136" s="22">
        <f t="shared" si="75"/>
        <v>129564</v>
      </c>
      <c r="P136" s="23">
        <f t="shared" si="49"/>
        <v>410713.79</v>
      </c>
    </row>
    <row r="137" spans="2:16" x14ac:dyDescent="0.25">
      <c r="B137" s="46" t="s">
        <v>255</v>
      </c>
      <c r="C137" s="31" t="s">
        <v>254</v>
      </c>
      <c r="D137" s="25">
        <v>0</v>
      </c>
      <c r="E137" s="25">
        <v>0</v>
      </c>
      <c r="F137" s="25">
        <v>0</v>
      </c>
      <c r="G137" s="25">
        <v>0</v>
      </c>
      <c r="H137" s="25"/>
      <c r="I137" s="25">
        <v>249949.83</v>
      </c>
      <c r="J137" s="25"/>
      <c r="K137" s="25">
        <v>0</v>
      </c>
      <c r="L137" s="25">
        <v>31199.96</v>
      </c>
      <c r="M137" s="25"/>
      <c r="N137" s="25"/>
      <c r="O137" s="25">
        <v>129564</v>
      </c>
      <c r="P137" s="33">
        <f t="shared" si="49"/>
        <v>410713.79</v>
      </c>
    </row>
    <row r="138" spans="2:16" x14ac:dyDescent="0.25">
      <c r="B138" s="21" t="s">
        <v>561</v>
      </c>
      <c r="C138" s="21" t="s">
        <v>562</v>
      </c>
      <c r="D138" s="22">
        <f>+D139</f>
        <v>0</v>
      </c>
      <c r="E138" s="22">
        <f t="shared" ref="E138:O138" si="76">+E139</f>
        <v>0</v>
      </c>
      <c r="F138" s="22">
        <f t="shared" si="76"/>
        <v>0</v>
      </c>
      <c r="G138" s="22">
        <f t="shared" si="76"/>
        <v>0</v>
      </c>
      <c r="H138" s="22">
        <f t="shared" si="76"/>
        <v>0</v>
      </c>
      <c r="I138" s="22">
        <f t="shared" si="76"/>
        <v>61600</v>
      </c>
      <c r="J138" s="22">
        <f t="shared" si="76"/>
        <v>0</v>
      </c>
      <c r="K138" s="22">
        <f t="shared" si="76"/>
        <v>0</v>
      </c>
      <c r="L138" s="22">
        <f t="shared" si="76"/>
        <v>0</v>
      </c>
      <c r="M138" s="22">
        <f t="shared" si="76"/>
        <v>0</v>
      </c>
      <c r="N138" s="22">
        <f t="shared" si="76"/>
        <v>0</v>
      </c>
      <c r="O138" s="22">
        <f t="shared" si="76"/>
        <v>0</v>
      </c>
      <c r="P138" s="23">
        <f t="shared" si="49"/>
        <v>61600</v>
      </c>
    </row>
    <row r="139" spans="2:16" x14ac:dyDescent="0.25">
      <c r="B139" s="46" t="s">
        <v>473</v>
      </c>
      <c r="C139" s="31" t="s">
        <v>562</v>
      </c>
      <c r="D139" s="25"/>
      <c r="E139" s="25"/>
      <c r="F139" s="25"/>
      <c r="G139" s="25"/>
      <c r="H139" s="25">
        <v>0</v>
      </c>
      <c r="I139" s="25">
        <v>61600</v>
      </c>
      <c r="J139" s="25"/>
      <c r="K139" s="25">
        <v>0</v>
      </c>
      <c r="L139" s="25"/>
      <c r="M139" s="25"/>
      <c r="N139" s="25"/>
      <c r="O139" s="25"/>
      <c r="P139" s="33">
        <f t="shared" si="49"/>
        <v>61600</v>
      </c>
    </row>
    <row r="140" spans="2:16" x14ac:dyDescent="0.25">
      <c r="B140" s="21" t="s">
        <v>38</v>
      </c>
      <c r="C140" s="21" t="s">
        <v>256</v>
      </c>
      <c r="D140" s="22">
        <f>+D141+D143+D145+D147</f>
        <v>0</v>
      </c>
      <c r="E140" s="22">
        <f t="shared" ref="E140:O140" si="77">+E141+E143+E145+E147</f>
        <v>0</v>
      </c>
      <c r="F140" s="22">
        <f t="shared" si="77"/>
        <v>0</v>
      </c>
      <c r="G140" s="22">
        <f t="shared" ref="G140" si="78">+G141+G143+G145+G147</f>
        <v>0</v>
      </c>
      <c r="H140" s="22">
        <f t="shared" si="77"/>
        <v>8991.01</v>
      </c>
      <c r="I140" s="22">
        <f t="shared" si="77"/>
        <v>0</v>
      </c>
      <c r="J140" s="22">
        <f t="shared" si="77"/>
        <v>0</v>
      </c>
      <c r="K140" s="22">
        <f t="shared" si="77"/>
        <v>0</v>
      </c>
      <c r="L140" s="22">
        <f t="shared" si="77"/>
        <v>17373</v>
      </c>
      <c r="M140" s="22">
        <f t="shared" si="77"/>
        <v>83839</v>
      </c>
      <c r="N140" s="22">
        <f t="shared" si="77"/>
        <v>0</v>
      </c>
      <c r="O140" s="22">
        <f t="shared" si="77"/>
        <v>0</v>
      </c>
      <c r="P140" s="23">
        <f t="shared" si="49"/>
        <v>110203.01000000001</v>
      </c>
    </row>
    <row r="141" spans="2:16" x14ac:dyDescent="0.25">
      <c r="B141" s="21" t="s">
        <v>257</v>
      </c>
      <c r="C141" s="21" t="s">
        <v>258</v>
      </c>
      <c r="D141" s="22">
        <f>+D142</f>
        <v>0</v>
      </c>
      <c r="E141" s="22">
        <f t="shared" ref="E141:O141" si="79">+E142</f>
        <v>0</v>
      </c>
      <c r="F141" s="22">
        <f t="shared" si="79"/>
        <v>0</v>
      </c>
      <c r="G141" s="22">
        <f t="shared" si="79"/>
        <v>0</v>
      </c>
      <c r="H141" s="22">
        <f t="shared" si="79"/>
        <v>0</v>
      </c>
      <c r="I141" s="22">
        <f t="shared" si="79"/>
        <v>0</v>
      </c>
      <c r="J141" s="22">
        <f t="shared" si="79"/>
        <v>0</v>
      </c>
      <c r="K141" s="22">
        <f t="shared" si="79"/>
        <v>0</v>
      </c>
      <c r="L141" s="22">
        <f t="shared" si="79"/>
        <v>0</v>
      </c>
      <c r="M141" s="22">
        <f t="shared" si="79"/>
        <v>8991.6</v>
      </c>
      <c r="N141" s="22">
        <f t="shared" si="79"/>
        <v>0</v>
      </c>
      <c r="O141" s="22">
        <f t="shared" si="79"/>
        <v>0</v>
      </c>
      <c r="P141" s="23">
        <f t="shared" si="49"/>
        <v>8991.6</v>
      </c>
    </row>
    <row r="142" spans="2:16" x14ac:dyDescent="0.25">
      <c r="B142" s="46" t="s">
        <v>475</v>
      </c>
      <c r="C142" s="31" t="s">
        <v>258</v>
      </c>
      <c r="D142" s="25">
        <v>0</v>
      </c>
      <c r="E142" s="25">
        <v>0</v>
      </c>
      <c r="F142" s="25">
        <v>0</v>
      </c>
      <c r="G142" s="25"/>
      <c r="H142" s="25"/>
      <c r="I142" s="25"/>
      <c r="J142" s="25"/>
      <c r="K142" s="25"/>
      <c r="L142" s="25"/>
      <c r="M142" s="25">
        <v>8991.6</v>
      </c>
      <c r="N142" s="25"/>
      <c r="O142" s="25"/>
      <c r="P142" s="33">
        <f t="shared" si="49"/>
        <v>8991.6</v>
      </c>
    </row>
    <row r="143" spans="2:16" x14ac:dyDescent="0.25">
      <c r="B143" s="21" t="s">
        <v>259</v>
      </c>
      <c r="C143" s="21" t="s">
        <v>260</v>
      </c>
      <c r="D143" s="22">
        <f>+D144</f>
        <v>0</v>
      </c>
      <c r="E143" s="22">
        <f t="shared" ref="E143:O143" si="80">+E144</f>
        <v>0</v>
      </c>
      <c r="F143" s="22">
        <f t="shared" si="80"/>
        <v>0</v>
      </c>
      <c r="G143" s="22">
        <f t="shared" si="80"/>
        <v>0</v>
      </c>
      <c r="H143" s="22">
        <f t="shared" si="80"/>
        <v>8991.01</v>
      </c>
      <c r="I143" s="22">
        <f t="shared" si="80"/>
        <v>0</v>
      </c>
      <c r="J143" s="22">
        <f t="shared" si="80"/>
        <v>0</v>
      </c>
      <c r="K143" s="22">
        <f t="shared" si="80"/>
        <v>0</v>
      </c>
      <c r="L143" s="22">
        <f t="shared" si="80"/>
        <v>17373</v>
      </c>
      <c r="M143" s="22">
        <f t="shared" si="80"/>
        <v>74847.399999999994</v>
      </c>
      <c r="N143" s="22">
        <f t="shared" si="80"/>
        <v>0</v>
      </c>
      <c r="O143" s="22">
        <f t="shared" si="80"/>
        <v>0</v>
      </c>
      <c r="P143" s="23">
        <f t="shared" si="49"/>
        <v>101211.41</v>
      </c>
    </row>
    <row r="144" spans="2:16" x14ac:dyDescent="0.25">
      <c r="B144" s="46" t="s">
        <v>261</v>
      </c>
      <c r="C144" s="31" t="s">
        <v>260</v>
      </c>
      <c r="D144" s="25">
        <v>0</v>
      </c>
      <c r="E144" s="25">
        <v>0</v>
      </c>
      <c r="F144" s="25">
        <v>0</v>
      </c>
      <c r="G144" s="25">
        <v>0</v>
      </c>
      <c r="H144" s="25">
        <v>8991.01</v>
      </c>
      <c r="I144" s="25"/>
      <c r="J144" s="25"/>
      <c r="K144" s="25">
        <v>0</v>
      </c>
      <c r="L144" s="25">
        <v>17373</v>
      </c>
      <c r="M144" s="25">
        <v>74847.399999999994</v>
      </c>
      <c r="N144" s="25"/>
      <c r="O144" s="25"/>
      <c r="P144" s="33">
        <f t="shared" si="49"/>
        <v>101211.41</v>
      </c>
    </row>
    <row r="145" spans="2:16" x14ac:dyDescent="0.25">
      <c r="B145" s="21" t="s">
        <v>262</v>
      </c>
      <c r="C145" s="21" t="s">
        <v>263</v>
      </c>
      <c r="D145" s="22">
        <f>+D146</f>
        <v>0</v>
      </c>
      <c r="E145" s="22">
        <f t="shared" ref="E145:O145" si="81">+E146</f>
        <v>0</v>
      </c>
      <c r="F145" s="22">
        <f t="shared" si="81"/>
        <v>0</v>
      </c>
      <c r="G145" s="22">
        <f t="shared" si="81"/>
        <v>0</v>
      </c>
      <c r="H145" s="22">
        <f t="shared" si="81"/>
        <v>0</v>
      </c>
      <c r="I145" s="22">
        <f t="shared" si="81"/>
        <v>0</v>
      </c>
      <c r="J145" s="22">
        <f t="shared" si="81"/>
        <v>0</v>
      </c>
      <c r="K145" s="22">
        <f t="shared" si="81"/>
        <v>0</v>
      </c>
      <c r="L145" s="22">
        <f t="shared" si="81"/>
        <v>0</v>
      </c>
      <c r="M145" s="22">
        <f t="shared" si="81"/>
        <v>0</v>
      </c>
      <c r="N145" s="22">
        <f t="shared" si="81"/>
        <v>0</v>
      </c>
      <c r="O145" s="22">
        <f t="shared" si="81"/>
        <v>0</v>
      </c>
      <c r="P145" s="23">
        <f t="shared" si="49"/>
        <v>0</v>
      </c>
    </row>
    <row r="146" spans="2:16" x14ac:dyDescent="0.25">
      <c r="B146" s="46" t="s">
        <v>264</v>
      </c>
      <c r="C146" s="31" t="s">
        <v>263</v>
      </c>
      <c r="D146" s="25">
        <v>0</v>
      </c>
      <c r="E146" s="25">
        <v>0</v>
      </c>
      <c r="F146" s="25">
        <v>0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33">
        <f t="shared" si="49"/>
        <v>0</v>
      </c>
    </row>
    <row r="147" spans="2:16" x14ac:dyDescent="0.25">
      <c r="B147" s="21" t="s">
        <v>265</v>
      </c>
      <c r="C147" s="21" t="s">
        <v>266</v>
      </c>
      <c r="D147" s="22">
        <f>+D148</f>
        <v>0</v>
      </c>
      <c r="E147" s="22">
        <f t="shared" ref="E147:O147" si="82">+E148</f>
        <v>0</v>
      </c>
      <c r="F147" s="22">
        <f t="shared" si="82"/>
        <v>0</v>
      </c>
      <c r="G147" s="22">
        <f t="shared" si="82"/>
        <v>0</v>
      </c>
      <c r="H147" s="22">
        <f t="shared" si="82"/>
        <v>0</v>
      </c>
      <c r="I147" s="22">
        <f t="shared" si="82"/>
        <v>0</v>
      </c>
      <c r="J147" s="22">
        <f t="shared" si="82"/>
        <v>0</v>
      </c>
      <c r="K147" s="22">
        <f t="shared" si="82"/>
        <v>0</v>
      </c>
      <c r="L147" s="22">
        <f t="shared" si="82"/>
        <v>0</v>
      </c>
      <c r="M147" s="22">
        <f t="shared" si="82"/>
        <v>0</v>
      </c>
      <c r="N147" s="22">
        <f t="shared" si="82"/>
        <v>0</v>
      </c>
      <c r="O147" s="22">
        <f t="shared" si="82"/>
        <v>0</v>
      </c>
      <c r="P147" s="23">
        <f t="shared" si="49"/>
        <v>0</v>
      </c>
    </row>
    <row r="148" spans="2:16" x14ac:dyDescent="0.25">
      <c r="B148" s="46" t="s">
        <v>267</v>
      </c>
      <c r="C148" s="31" t="s">
        <v>266</v>
      </c>
      <c r="D148" s="25">
        <v>0</v>
      </c>
      <c r="E148" s="25">
        <v>0</v>
      </c>
      <c r="F148" s="25">
        <v>0</v>
      </c>
      <c r="G148" s="25"/>
      <c r="H148" s="25"/>
      <c r="I148" s="25"/>
      <c r="J148" s="25"/>
      <c r="K148" s="25">
        <v>0</v>
      </c>
      <c r="L148" s="25"/>
      <c r="M148" s="25"/>
      <c r="N148" s="25"/>
      <c r="O148" s="25"/>
      <c r="P148" s="33">
        <f t="shared" si="49"/>
        <v>0</v>
      </c>
    </row>
    <row r="149" spans="2:16" x14ac:dyDescent="0.25">
      <c r="B149" s="21" t="s">
        <v>563</v>
      </c>
      <c r="C149" s="21" t="s">
        <v>565</v>
      </c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33">
        <f t="shared" si="49"/>
        <v>0</v>
      </c>
    </row>
    <row r="150" spans="2:16" x14ac:dyDescent="0.25">
      <c r="B150" s="21" t="s">
        <v>564</v>
      </c>
      <c r="C150" s="21" t="s">
        <v>566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33">
        <f t="shared" si="49"/>
        <v>0</v>
      </c>
    </row>
    <row r="151" spans="2:16" x14ac:dyDescent="0.25">
      <c r="B151" s="46" t="s">
        <v>479</v>
      </c>
      <c r="C151" s="31" t="s">
        <v>566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33">
        <f t="shared" si="49"/>
        <v>0</v>
      </c>
    </row>
    <row r="152" spans="2:16" x14ac:dyDescent="0.25">
      <c r="B152" s="21" t="s">
        <v>42</v>
      </c>
      <c r="C152" s="21" t="s">
        <v>268</v>
      </c>
      <c r="D152" s="22">
        <f>+D153</f>
        <v>0</v>
      </c>
      <c r="E152" s="22">
        <f t="shared" ref="E152:O153" si="83">+E153</f>
        <v>0</v>
      </c>
      <c r="F152" s="22">
        <f t="shared" si="83"/>
        <v>0</v>
      </c>
      <c r="G152" s="22">
        <f t="shared" si="83"/>
        <v>0</v>
      </c>
      <c r="H152" s="22">
        <f>+H155</f>
        <v>5310</v>
      </c>
      <c r="I152" s="22">
        <f t="shared" si="83"/>
        <v>0</v>
      </c>
      <c r="J152" s="22">
        <f t="shared" si="83"/>
        <v>0</v>
      </c>
      <c r="K152" s="22">
        <f t="shared" si="83"/>
        <v>0</v>
      </c>
      <c r="L152" s="22">
        <f t="shared" si="83"/>
        <v>0</v>
      </c>
      <c r="M152" s="22">
        <f t="shared" si="83"/>
        <v>0</v>
      </c>
      <c r="N152" s="22">
        <f t="shared" si="83"/>
        <v>0</v>
      </c>
      <c r="O152" s="22">
        <f t="shared" si="83"/>
        <v>0</v>
      </c>
      <c r="P152" s="23">
        <f t="shared" si="49"/>
        <v>5310</v>
      </c>
    </row>
    <row r="153" spans="2:16" x14ac:dyDescent="0.25">
      <c r="B153" s="21" t="s">
        <v>269</v>
      </c>
      <c r="C153" s="21" t="s">
        <v>270</v>
      </c>
      <c r="D153" s="22"/>
      <c r="E153" s="22">
        <f>+E154</f>
        <v>0</v>
      </c>
      <c r="F153" s="22">
        <f t="shared" si="83"/>
        <v>0</v>
      </c>
      <c r="G153" s="22">
        <f t="shared" si="83"/>
        <v>0</v>
      </c>
      <c r="H153" s="22">
        <f t="shared" si="83"/>
        <v>0</v>
      </c>
      <c r="I153" s="22">
        <f t="shared" si="83"/>
        <v>0</v>
      </c>
      <c r="J153" s="22">
        <f t="shared" si="83"/>
        <v>0</v>
      </c>
      <c r="K153" s="22">
        <f t="shared" si="83"/>
        <v>0</v>
      </c>
      <c r="L153" s="22">
        <f t="shared" si="83"/>
        <v>0</v>
      </c>
      <c r="M153" s="22">
        <f t="shared" si="83"/>
        <v>0</v>
      </c>
      <c r="N153" s="22">
        <f t="shared" si="83"/>
        <v>0</v>
      </c>
      <c r="O153" s="22">
        <f t="shared" si="83"/>
        <v>0</v>
      </c>
      <c r="P153" s="23">
        <f t="shared" si="49"/>
        <v>0</v>
      </c>
    </row>
    <row r="154" spans="2:16" x14ac:dyDescent="0.25">
      <c r="B154" s="46" t="s">
        <v>271</v>
      </c>
      <c r="C154" s="31" t="s">
        <v>270</v>
      </c>
      <c r="D154" s="25">
        <v>0</v>
      </c>
      <c r="E154" s="25">
        <v>0</v>
      </c>
      <c r="F154" s="25">
        <v>0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33">
        <f t="shared" si="49"/>
        <v>0</v>
      </c>
    </row>
    <row r="155" spans="2:16" x14ac:dyDescent="0.25">
      <c r="B155" s="21" t="s">
        <v>272</v>
      </c>
      <c r="C155" s="21" t="s">
        <v>273</v>
      </c>
      <c r="D155" s="22">
        <f>+D156</f>
        <v>0</v>
      </c>
      <c r="E155" s="22">
        <f t="shared" ref="E155:O155" si="84">+E156</f>
        <v>0</v>
      </c>
      <c r="F155" s="22">
        <f t="shared" si="84"/>
        <v>0</v>
      </c>
      <c r="G155" s="22">
        <f t="shared" si="84"/>
        <v>0</v>
      </c>
      <c r="H155" s="22">
        <f t="shared" si="84"/>
        <v>5310</v>
      </c>
      <c r="I155" s="22">
        <f t="shared" si="84"/>
        <v>0</v>
      </c>
      <c r="J155" s="22">
        <f t="shared" si="84"/>
        <v>0</v>
      </c>
      <c r="K155" s="22">
        <f t="shared" si="84"/>
        <v>0</v>
      </c>
      <c r="L155" s="22">
        <f t="shared" si="84"/>
        <v>3500</v>
      </c>
      <c r="M155" s="22">
        <f t="shared" si="84"/>
        <v>0</v>
      </c>
      <c r="N155" s="22">
        <f t="shared" si="84"/>
        <v>0</v>
      </c>
      <c r="O155" s="22">
        <f t="shared" si="84"/>
        <v>0</v>
      </c>
      <c r="P155" s="23">
        <f t="shared" si="49"/>
        <v>8810</v>
      </c>
    </row>
    <row r="156" spans="2:16" x14ac:dyDescent="0.25">
      <c r="B156" s="46" t="s">
        <v>274</v>
      </c>
      <c r="C156" s="31" t="s">
        <v>273</v>
      </c>
      <c r="D156" s="25">
        <v>0</v>
      </c>
      <c r="E156" s="25">
        <v>0</v>
      </c>
      <c r="F156" s="25">
        <v>0</v>
      </c>
      <c r="G156" s="25"/>
      <c r="H156" s="25">
        <v>5310</v>
      </c>
      <c r="I156" s="25"/>
      <c r="J156" s="25"/>
      <c r="K156" s="25">
        <v>0</v>
      </c>
      <c r="L156" s="25">
        <v>3500</v>
      </c>
      <c r="M156" s="25"/>
      <c r="N156" s="25"/>
      <c r="O156" s="25"/>
      <c r="P156" s="33">
        <f t="shared" si="49"/>
        <v>8810</v>
      </c>
    </row>
    <row r="157" spans="2:16" x14ac:dyDescent="0.25">
      <c r="B157" s="21" t="s">
        <v>44</v>
      </c>
      <c r="C157" s="21" t="s">
        <v>275</v>
      </c>
      <c r="D157" s="22">
        <f>+D158</f>
        <v>2650</v>
      </c>
      <c r="E157" s="22">
        <f t="shared" ref="E157:O157" si="85">+E158</f>
        <v>0</v>
      </c>
      <c r="F157" s="22">
        <f t="shared" si="85"/>
        <v>0</v>
      </c>
      <c r="G157" s="22">
        <f t="shared" si="85"/>
        <v>0</v>
      </c>
      <c r="H157" s="22">
        <f t="shared" si="85"/>
        <v>0</v>
      </c>
      <c r="I157" s="22">
        <f t="shared" si="85"/>
        <v>0</v>
      </c>
      <c r="J157" s="22">
        <f t="shared" si="85"/>
        <v>0</v>
      </c>
      <c r="K157" s="22">
        <f t="shared" si="85"/>
        <v>0</v>
      </c>
      <c r="L157" s="22">
        <f t="shared" si="85"/>
        <v>5714</v>
      </c>
      <c r="M157" s="22">
        <f t="shared" si="85"/>
        <v>0</v>
      </c>
      <c r="N157" s="22">
        <f t="shared" si="85"/>
        <v>4535.32</v>
      </c>
      <c r="O157" s="22">
        <f t="shared" si="85"/>
        <v>19623.939999999999</v>
      </c>
      <c r="P157" s="23">
        <f t="shared" si="49"/>
        <v>32523.26</v>
      </c>
    </row>
    <row r="158" spans="2:16" x14ac:dyDescent="0.25">
      <c r="B158" s="21" t="s">
        <v>276</v>
      </c>
      <c r="C158" s="21" t="s">
        <v>277</v>
      </c>
      <c r="D158" s="22">
        <f>SUM(D159:D160)</f>
        <v>2650</v>
      </c>
      <c r="E158" s="22">
        <f t="shared" ref="E158:O158" si="86">SUM(E159:E160)</f>
        <v>0</v>
      </c>
      <c r="F158" s="22">
        <f t="shared" si="86"/>
        <v>0</v>
      </c>
      <c r="G158" s="22">
        <f t="shared" ref="G158" si="87">SUM(G159:G160)</f>
        <v>0</v>
      </c>
      <c r="H158" s="22">
        <f t="shared" si="86"/>
        <v>0</v>
      </c>
      <c r="I158" s="22">
        <f t="shared" si="86"/>
        <v>0</v>
      </c>
      <c r="J158" s="22">
        <f t="shared" si="86"/>
        <v>0</v>
      </c>
      <c r="K158" s="22">
        <f t="shared" si="86"/>
        <v>0</v>
      </c>
      <c r="L158" s="22">
        <f t="shared" si="86"/>
        <v>5714</v>
      </c>
      <c r="M158" s="22">
        <f t="shared" si="86"/>
        <v>0</v>
      </c>
      <c r="N158" s="22">
        <f t="shared" si="86"/>
        <v>4535.32</v>
      </c>
      <c r="O158" s="22">
        <f t="shared" si="86"/>
        <v>19623.939999999999</v>
      </c>
      <c r="P158" s="23">
        <f t="shared" si="49"/>
        <v>32523.26</v>
      </c>
    </row>
    <row r="159" spans="2:16" x14ac:dyDescent="0.25">
      <c r="B159" s="46" t="s">
        <v>278</v>
      </c>
      <c r="C159" s="31" t="s">
        <v>279</v>
      </c>
      <c r="D159" s="25">
        <v>2650</v>
      </c>
      <c r="E159" s="25">
        <v>0</v>
      </c>
      <c r="F159" s="25">
        <v>0</v>
      </c>
      <c r="G159" s="25"/>
      <c r="H159" s="25"/>
      <c r="I159" s="25"/>
      <c r="J159" s="25"/>
      <c r="K159" s="25">
        <v>0</v>
      </c>
      <c r="L159" s="25">
        <v>5714</v>
      </c>
      <c r="M159" s="25"/>
      <c r="N159" s="25">
        <v>4535.32</v>
      </c>
      <c r="O159" s="25">
        <v>19139.34</v>
      </c>
      <c r="P159" s="33">
        <f t="shared" si="49"/>
        <v>32038.66</v>
      </c>
    </row>
    <row r="160" spans="2:16" x14ac:dyDescent="0.25">
      <c r="B160" s="46" t="s">
        <v>280</v>
      </c>
      <c r="C160" s="31" t="s">
        <v>281</v>
      </c>
      <c r="D160" s="25">
        <v>0</v>
      </c>
      <c r="E160" s="25">
        <v>0</v>
      </c>
      <c r="F160" s="25">
        <v>0</v>
      </c>
      <c r="G160" s="25"/>
      <c r="H160" s="25"/>
      <c r="I160" s="25"/>
      <c r="J160" s="25"/>
      <c r="K160" s="25">
        <v>0</v>
      </c>
      <c r="L160" s="25"/>
      <c r="M160" s="25"/>
      <c r="N160" s="25"/>
      <c r="O160" s="25">
        <v>484.6</v>
      </c>
      <c r="P160" s="33">
        <f t="shared" si="49"/>
        <v>484.6</v>
      </c>
    </row>
    <row r="161" spans="2:17" x14ac:dyDescent="0.25">
      <c r="B161" s="21" t="s">
        <v>46</v>
      </c>
      <c r="C161" s="21" t="s">
        <v>282</v>
      </c>
      <c r="D161" s="22">
        <f>+D162+D166</f>
        <v>200100</v>
      </c>
      <c r="E161" s="22">
        <f t="shared" ref="E161:O161" si="88">+E162+E166</f>
        <v>220350</v>
      </c>
      <c r="F161" s="22">
        <f t="shared" si="88"/>
        <v>212011.2</v>
      </c>
      <c r="G161" s="22">
        <f t="shared" ref="G161" si="89">+G162+G166</f>
        <v>201700</v>
      </c>
      <c r="H161" s="22">
        <f t="shared" si="88"/>
        <v>199300</v>
      </c>
      <c r="I161" s="22">
        <f t="shared" si="88"/>
        <v>162035.04999999999</v>
      </c>
      <c r="J161" s="22">
        <f t="shared" si="88"/>
        <v>853150</v>
      </c>
      <c r="K161" s="22">
        <f t="shared" si="88"/>
        <v>171150</v>
      </c>
      <c r="L161" s="22">
        <f t="shared" si="88"/>
        <v>193256</v>
      </c>
      <c r="M161" s="22">
        <f t="shared" si="88"/>
        <v>194350</v>
      </c>
      <c r="N161" s="22">
        <f t="shared" si="88"/>
        <v>219602.53999999998</v>
      </c>
      <c r="O161" s="22">
        <f t="shared" si="88"/>
        <v>1170735.5</v>
      </c>
      <c r="P161" s="23">
        <f t="shared" si="49"/>
        <v>3997740.29</v>
      </c>
      <c r="Q161" s="254"/>
    </row>
    <row r="162" spans="2:17" x14ac:dyDescent="0.25">
      <c r="B162" s="21" t="s">
        <v>283</v>
      </c>
      <c r="C162" s="21" t="s">
        <v>284</v>
      </c>
      <c r="D162" s="22">
        <f>SUM(D163:D165)</f>
        <v>200100</v>
      </c>
      <c r="E162" s="22">
        <f t="shared" ref="E162:O162" si="90">SUM(E163:E165)</f>
        <v>220350</v>
      </c>
      <c r="F162" s="22">
        <f t="shared" si="90"/>
        <v>212011.2</v>
      </c>
      <c r="G162" s="22">
        <f t="shared" ref="G162" si="91">SUM(G163:G165)</f>
        <v>201700</v>
      </c>
      <c r="H162" s="22">
        <f t="shared" si="90"/>
        <v>190500</v>
      </c>
      <c r="I162" s="22">
        <f t="shared" si="90"/>
        <v>162035.04999999999</v>
      </c>
      <c r="J162" s="22">
        <f t="shared" si="90"/>
        <v>853150</v>
      </c>
      <c r="K162" s="22">
        <f t="shared" si="90"/>
        <v>171150</v>
      </c>
      <c r="L162" s="22">
        <f t="shared" si="90"/>
        <v>182350</v>
      </c>
      <c r="M162" s="22">
        <f t="shared" si="90"/>
        <v>194350</v>
      </c>
      <c r="N162" s="22">
        <f t="shared" si="90"/>
        <v>194111.4</v>
      </c>
      <c r="O162" s="22">
        <f t="shared" si="90"/>
        <v>1170350</v>
      </c>
      <c r="P162" s="23">
        <f t="shared" si="49"/>
        <v>3952157.65</v>
      </c>
    </row>
    <row r="163" spans="2:17" x14ac:dyDescent="0.25">
      <c r="B163" s="31" t="s">
        <v>285</v>
      </c>
      <c r="C163" s="31" t="s">
        <v>286</v>
      </c>
      <c r="D163" s="25">
        <v>200100</v>
      </c>
      <c r="E163" s="25">
        <v>220350</v>
      </c>
      <c r="F163" s="25">
        <v>212011.2</v>
      </c>
      <c r="G163" s="25">
        <v>201700</v>
      </c>
      <c r="H163" s="25">
        <v>190500</v>
      </c>
      <c r="I163" s="25">
        <v>162035.04999999999</v>
      </c>
      <c r="J163" s="25">
        <v>790150</v>
      </c>
      <c r="K163" s="25">
        <v>171150</v>
      </c>
      <c r="L163" s="25">
        <v>182350</v>
      </c>
      <c r="M163" s="25">
        <v>194350</v>
      </c>
      <c r="N163" s="25">
        <v>194111.4</v>
      </c>
      <c r="O163" s="25">
        <v>840350</v>
      </c>
      <c r="P163" s="33">
        <f t="shared" si="49"/>
        <v>3559157.65</v>
      </c>
    </row>
    <row r="164" spans="2:17" x14ac:dyDescent="0.25">
      <c r="B164" s="31" t="s">
        <v>287</v>
      </c>
      <c r="C164" s="31" t="s">
        <v>288</v>
      </c>
      <c r="D164" s="25">
        <v>0</v>
      </c>
      <c r="E164" s="25">
        <v>0</v>
      </c>
      <c r="F164" s="25">
        <v>0</v>
      </c>
      <c r="G164" s="25"/>
      <c r="H164" s="25"/>
      <c r="I164" s="25"/>
      <c r="J164" s="25">
        <v>63000</v>
      </c>
      <c r="K164" s="25"/>
      <c r="L164" s="25"/>
      <c r="M164" s="25"/>
      <c r="N164" s="25"/>
      <c r="O164" s="25">
        <v>330000</v>
      </c>
      <c r="P164" s="33">
        <f t="shared" si="49"/>
        <v>393000</v>
      </c>
    </row>
    <row r="165" spans="2:17" x14ac:dyDescent="0.25">
      <c r="B165" s="31" t="s">
        <v>289</v>
      </c>
      <c r="C165" s="31" t="s">
        <v>290</v>
      </c>
      <c r="D165" s="25">
        <v>0</v>
      </c>
      <c r="E165" s="25">
        <v>0</v>
      </c>
      <c r="F165" s="25">
        <v>0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33">
        <f t="shared" si="49"/>
        <v>0</v>
      </c>
    </row>
    <row r="166" spans="2:17" x14ac:dyDescent="0.25">
      <c r="B166" s="21" t="s">
        <v>291</v>
      </c>
      <c r="C166" s="21" t="s">
        <v>292</v>
      </c>
      <c r="D166" s="22">
        <f>SUM(D167:D169)</f>
        <v>0</v>
      </c>
      <c r="E166" s="22">
        <f t="shared" ref="E166:O166" si="92">SUM(E167:E169)</f>
        <v>0</v>
      </c>
      <c r="F166" s="22">
        <f t="shared" si="92"/>
        <v>0</v>
      </c>
      <c r="G166" s="22">
        <f t="shared" si="92"/>
        <v>0</v>
      </c>
      <c r="H166" s="22">
        <f t="shared" si="92"/>
        <v>8800</v>
      </c>
      <c r="I166" s="22">
        <f t="shared" si="92"/>
        <v>0</v>
      </c>
      <c r="J166" s="22">
        <f t="shared" si="92"/>
        <v>0</v>
      </c>
      <c r="K166" s="22">
        <f t="shared" si="92"/>
        <v>0</v>
      </c>
      <c r="L166" s="22">
        <f t="shared" si="92"/>
        <v>10906</v>
      </c>
      <c r="M166" s="22">
        <f t="shared" si="92"/>
        <v>0</v>
      </c>
      <c r="N166" s="22">
        <f t="shared" si="92"/>
        <v>25491.14</v>
      </c>
      <c r="O166" s="22">
        <f t="shared" si="92"/>
        <v>385.5</v>
      </c>
      <c r="P166" s="23">
        <f t="shared" si="49"/>
        <v>45582.64</v>
      </c>
    </row>
    <row r="167" spans="2:17" x14ac:dyDescent="0.25">
      <c r="B167" s="31" t="s">
        <v>293</v>
      </c>
      <c r="C167" s="31" t="s">
        <v>294</v>
      </c>
      <c r="D167" s="25">
        <v>0</v>
      </c>
      <c r="E167" s="25">
        <v>0</v>
      </c>
      <c r="F167" s="25">
        <v>0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33">
        <f t="shared" ref="P167:P236" si="93">SUM(D167:O167)</f>
        <v>0</v>
      </c>
    </row>
    <row r="168" spans="2:17" x14ac:dyDescent="0.25">
      <c r="B168" s="31" t="s">
        <v>295</v>
      </c>
      <c r="C168" s="31" t="s">
        <v>296</v>
      </c>
      <c r="D168" s="25">
        <v>0</v>
      </c>
      <c r="E168" s="25">
        <v>0</v>
      </c>
      <c r="F168" s="25">
        <v>0</v>
      </c>
      <c r="G168" s="25"/>
      <c r="H168" s="25">
        <v>8800</v>
      </c>
      <c r="I168" s="25"/>
      <c r="J168" s="25"/>
      <c r="K168" s="25"/>
      <c r="L168" s="25"/>
      <c r="M168" s="25"/>
      <c r="N168" s="25"/>
      <c r="O168" s="25"/>
      <c r="P168" s="33">
        <f t="shared" si="93"/>
        <v>8800</v>
      </c>
    </row>
    <row r="169" spans="2:17" x14ac:dyDescent="0.25">
      <c r="B169" s="31" t="s">
        <v>297</v>
      </c>
      <c r="C169" s="31" t="s">
        <v>298</v>
      </c>
      <c r="D169" s="25">
        <v>0</v>
      </c>
      <c r="E169" s="25">
        <v>0</v>
      </c>
      <c r="F169" s="25">
        <v>0</v>
      </c>
      <c r="G169" s="25"/>
      <c r="H169" s="25"/>
      <c r="I169" s="25"/>
      <c r="J169" s="25"/>
      <c r="K169" s="25"/>
      <c r="L169" s="25">
        <v>10906</v>
      </c>
      <c r="M169" s="25"/>
      <c r="N169" s="25">
        <v>25491.14</v>
      </c>
      <c r="O169" s="25">
        <v>385.5</v>
      </c>
      <c r="P169" s="33">
        <f t="shared" si="93"/>
        <v>36782.639999999999</v>
      </c>
    </row>
    <row r="170" spans="2:17" x14ac:dyDescent="0.25">
      <c r="B170" s="21" t="s">
        <v>48</v>
      </c>
      <c r="C170" s="21" t="s">
        <v>299</v>
      </c>
      <c r="D170" s="22">
        <f>+D171+D173+D175+D177+D179+D181+D184</f>
        <v>20287.239999999998</v>
      </c>
      <c r="E170" s="22">
        <f t="shared" ref="E170:O170" si="94">+E171+E173+E175+E177+E179+E181+E184</f>
        <v>0</v>
      </c>
      <c r="F170" s="22">
        <f t="shared" si="94"/>
        <v>167831.4</v>
      </c>
      <c r="G170" s="22">
        <f t="shared" si="94"/>
        <v>782694</v>
      </c>
      <c r="H170" s="22">
        <f t="shared" si="94"/>
        <v>84778.53</v>
      </c>
      <c r="I170" s="22">
        <f t="shared" si="94"/>
        <v>0</v>
      </c>
      <c r="J170" s="22">
        <f t="shared" si="94"/>
        <v>0</v>
      </c>
      <c r="K170" s="22">
        <f t="shared" si="94"/>
        <v>640032.22</v>
      </c>
      <c r="L170" s="22">
        <f t="shared" si="94"/>
        <v>167811.68</v>
      </c>
      <c r="M170" s="22">
        <f t="shared" si="94"/>
        <v>149770.34</v>
      </c>
      <c r="N170" s="22">
        <f t="shared" si="94"/>
        <v>27811.95</v>
      </c>
      <c r="O170" s="22">
        <f t="shared" si="94"/>
        <v>450510.84</v>
      </c>
      <c r="P170" s="23">
        <f t="shared" si="93"/>
        <v>2491528.1999999997</v>
      </c>
    </row>
    <row r="171" spans="2:17" x14ac:dyDescent="0.25">
      <c r="B171" s="21" t="s">
        <v>300</v>
      </c>
      <c r="C171" s="21" t="s">
        <v>301</v>
      </c>
      <c r="D171" s="22">
        <f>+D172</f>
        <v>0</v>
      </c>
      <c r="E171" s="22">
        <f t="shared" ref="E171:O171" si="95">+E172</f>
        <v>0</v>
      </c>
      <c r="F171" s="22">
        <f t="shared" si="95"/>
        <v>0</v>
      </c>
      <c r="G171" s="22">
        <f t="shared" si="95"/>
        <v>0</v>
      </c>
      <c r="H171" s="22">
        <f t="shared" si="95"/>
        <v>22211.37</v>
      </c>
      <c r="I171" s="22">
        <f t="shared" si="95"/>
        <v>0</v>
      </c>
      <c r="J171" s="22">
        <f t="shared" si="95"/>
        <v>0</v>
      </c>
      <c r="K171" s="22">
        <f t="shared" si="95"/>
        <v>0</v>
      </c>
      <c r="L171" s="22">
        <f t="shared" si="95"/>
        <v>21955.63</v>
      </c>
      <c r="M171" s="22">
        <f t="shared" si="95"/>
        <v>3321.7</v>
      </c>
      <c r="N171" s="22">
        <f t="shared" si="95"/>
        <v>0</v>
      </c>
      <c r="O171" s="22">
        <f t="shared" si="95"/>
        <v>13589.05</v>
      </c>
      <c r="P171" s="23">
        <f t="shared" si="93"/>
        <v>61077.75</v>
      </c>
    </row>
    <row r="172" spans="2:17" x14ac:dyDescent="0.25">
      <c r="B172" s="31" t="s">
        <v>302</v>
      </c>
      <c r="C172" s="31" t="s">
        <v>301</v>
      </c>
      <c r="D172" s="25">
        <v>0</v>
      </c>
      <c r="E172" s="25">
        <v>0</v>
      </c>
      <c r="F172" s="25">
        <v>0</v>
      </c>
      <c r="G172" s="25">
        <v>0</v>
      </c>
      <c r="H172" s="25">
        <v>22211.37</v>
      </c>
      <c r="I172" s="25"/>
      <c r="J172" s="25"/>
      <c r="K172" s="25"/>
      <c r="L172" s="25">
        <v>21955.63</v>
      </c>
      <c r="M172" s="25">
        <v>3321.7</v>
      </c>
      <c r="N172" s="25"/>
      <c r="O172" s="25">
        <v>13589.05</v>
      </c>
      <c r="P172" s="33">
        <f t="shared" si="93"/>
        <v>61077.75</v>
      </c>
    </row>
    <row r="173" spans="2:17" x14ac:dyDescent="0.25">
      <c r="B173" s="21" t="s">
        <v>303</v>
      </c>
      <c r="C173" s="21" t="s">
        <v>304</v>
      </c>
      <c r="D173" s="22">
        <f>+D174</f>
        <v>0</v>
      </c>
      <c r="E173" s="22">
        <f t="shared" ref="E173:O173" si="96">+E174</f>
        <v>0</v>
      </c>
      <c r="F173" s="22">
        <f t="shared" si="96"/>
        <v>167831.4</v>
      </c>
      <c r="G173" s="22">
        <f t="shared" si="96"/>
        <v>598496</v>
      </c>
      <c r="H173" s="22">
        <f t="shared" si="96"/>
        <v>36420.480000000003</v>
      </c>
      <c r="I173" s="22">
        <f t="shared" si="96"/>
        <v>0</v>
      </c>
      <c r="J173" s="22">
        <f t="shared" si="96"/>
        <v>0</v>
      </c>
      <c r="K173" s="22">
        <f t="shared" si="96"/>
        <v>640032.22</v>
      </c>
      <c r="L173" s="22">
        <f t="shared" si="96"/>
        <v>0</v>
      </c>
      <c r="M173" s="22">
        <f t="shared" si="96"/>
        <v>112650.36</v>
      </c>
      <c r="N173" s="22">
        <f t="shared" si="96"/>
        <v>0</v>
      </c>
      <c r="O173" s="22">
        <f t="shared" si="96"/>
        <v>0</v>
      </c>
      <c r="P173" s="23">
        <f t="shared" si="93"/>
        <v>1555430.4600000002</v>
      </c>
    </row>
    <row r="174" spans="2:17" x14ac:dyDescent="0.25">
      <c r="B174" s="31" t="s">
        <v>305</v>
      </c>
      <c r="C174" s="31" t="s">
        <v>304</v>
      </c>
      <c r="D174" s="25">
        <v>0</v>
      </c>
      <c r="E174" s="25">
        <v>0</v>
      </c>
      <c r="F174" s="25">
        <v>167831.4</v>
      </c>
      <c r="G174" s="25">
        <v>598496</v>
      </c>
      <c r="H174" s="25">
        <v>36420.480000000003</v>
      </c>
      <c r="I174" s="25"/>
      <c r="J174" s="25"/>
      <c r="K174" s="25">
        <v>640032.22</v>
      </c>
      <c r="L174" s="25"/>
      <c r="M174" s="25">
        <v>112650.36</v>
      </c>
      <c r="N174" s="25"/>
      <c r="O174" s="25"/>
      <c r="P174" s="33">
        <f t="shared" si="93"/>
        <v>1555430.4600000002</v>
      </c>
    </row>
    <row r="175" spans="2:17" x14ac:dyDescent="0.25">
      <c r="B175" s="21" t="s">
        <v>306</v>
      </c>
      <c r="C175" s="21" t="s">
        <v>307</v>
      </c>
      <c r="D175" s="22">
        <f>+D176</f>
        <v>0</v>
      </c>
      <c r="E175" s="22">
        <f t="shared" ref="E175:O175" si="97">+E176</f>
        <v>0</v>
      </c>
      <c r="F175" s="22">
        <f t="shared" si="97"/>
        <v>0</v>
      </c>
      <c r="G175" s="22">
        <f t="shared" si="97"/>
        <v>72865</v>
      </c>
      <c r="H175" s="22">
        <f t="shared" si="97"/>
        <v>0</v>
      </c>
      <c r="I175" s="22">
        <f t="shared" si="97"/>
        <v>0</v>
      </c>
      <c r="J175" s="22">
        <f t="shared" si="97"/>
        <v>0</v>
      </c>
      <c r="K175" s="22">
        <f t="shared" si="97"/>
        <v>0</v>
      </c>
      <c r="L175" s="22">
        <f t="shared" si="97"/>
        <v>103599.75</v>
      </c>
      <c r="M175" s="22">
        <f t="shared" si="97"/>
        <v>31249.48</v>
      </c>
      <c r="N175" s="22">
        <f t="shared" si="97"/>
        <v>0</v>
      </c>
      <c r="O175" s="22">
        <f t="shared" si="97"/>
        <v>0</v>
      </c>
      <c r="P175" s="23">
        <f t="shared" si="93"/>
        <v>207714.23</v>
      </c>
    </row>
    <row r="176" spans="2:17" x14ac:dyDescent="0.25">
      <c r="B176" s="31" t="s">
        <v>308</v>
      </c>
      <c r="C176" s="31" t="s">
        <v>307</v>
      </c>
      <c r="D176" s="25">
        <v>0</v>
      </c>
      <c r="E176" s="25">
        <v>0</v>
      </c>
      <c r="F176" s="25">
        <v>0</v>
      </c>
      <c r="G176" s="25">
        <v>72865</v>
      </c>
      <c r="H176" s="25"/>
      <c r="I176" s="25"/>
      <c r="J176" s="25"/>
      <c r="K176" s="25"/>
      <c r="L176" s="25">
        <v>103599.75</v>
      </c>
      <c r="M176" s="25">
        <v>31249.48</v>
      </c>
      <c r="N176" s="25"/>
      <c r="O176" s="25"/>
      <c r="P176" s="33">
        <f t="shared" si="93"/>
        <v>207714.23</v>
      </c>
    </row>
    <row r="177" spans="2:21" x14ac:dyDescent="0.25">
      <c r="B177" s="21" t="s">
        <v>309</v>
      </c>
      <c r="C177" s="21" t="s">
        <v>310</v>
      </c>
      <c r="D177" s="22">
        <f>+D178</f>
        <v>0</v>
      </c>
      <c r="E177" s="22">
        <f t="shared" ref="E177:O177" si="98">+E178</f>
        <v>0</v>
      </c>
      <c r="F177" s="22">
        <f t="shared" si="98"/>
        <v>0</v>
      </c>
      <c r="G177" s="22">
        <f t="shared" si="98"/>
        <v>111333</v>
      </c>
      <c r="H177" s="22">
        <f t="shared" si="98"/>
        <v>26146.68</v>
      </c>
      <c r="I177" s="22">
        <f t="shared" si="98"/>
        <v>0</v>
      </c>
      <c r="J177" s="22">
        <f t="shared" si="98"/>
        <v>0</v>
      </c>
      <c r="K177" s="22">
        <f t="shared" si="98"/>
        <v>0</v>
      </c>
      <c r="L177" s="22">
        <f t="shared" si="98"/>
        <v>6991.3</v>
      </c>
      <c r="M177" s="22">
        <f t="shared" si="98"/>
        <v>2548.8000000000002</v>
      </c>
      <c r="N177" s="22">
        <f t="shared" si="98"/>
        <v>0</v>
      </c>
      <c r="O177" s="22">
        <f t="shared" si="98"/>
        <v>0</v>
      </c>
      <c r="P177" s="23">
        <f t="shared" si="93"/>
        <v>147019.77999999997</v>
      </c>
    </row>
    <row r="178" spans="2:21" x14ac:dyDescent="0.25">
      <c r="B178" s="31" t="s">
        <v>311</v>
      </c>
      <c r="C178" s="31" t="s">
        <v>310</v>
      </c>
      <c r="D178" s="25">
        <v>0</v>
      </c>
      <c r="E178" s="25">
        <v>0</v>
      </c>
      <c r="F178" s="25">
        <v>0</v>
      </c>
      <c r="G178" s="25">
        <v>111333</v>
      </c>
      <c r="H178" s="25">
        <v>26146.68</v>
      </c>
      <c r="I178" s="25"/>
      <c r="J178" s="25"/>
      <c r="K178" s="25"/>
      <c r="L178" s="25">
        <v>6991.3</v>
      </c>
      <c r="M178" s="25">
        <v>2548.8000000000002</v>
      </c>
      <c r="N178" s="25"/>
      <c r="O178" s="25"/>
      <c r="P178" s="33">
        <f t="shared" si="93"/>
        <v>147019.77999999997</v>
      </c>
    </row>
    <row r="179" spans="2:21" x14ac:dyDescent="0.25">
      <c r="B179" s="21" t="s">
        <v>312</v>
      </c>
      <c r="C179" s="21" t="s">
        <v>313</v>
      </c>
      <c r="D179" s="22">
        <f>+D180</f>
        <v>4000</v>
      </c>
      <c r="E179" s="22">
        <f t="shared" ref="E179:O179" si="99">+E180</f>
        <v>0</v>
      </c>
      <c r="F179" s="22">
        <f t="shared" si="99"/>
        <v>0</v>
      </c>
      <c r="G179" s="22">
        <f t="shared" si="99"/>
        <v>0</v>
      </c>
      <c r="H179" s="22">
        <f t="shared" si="99"/>
        <v>0</v>
      </c>
      <c r="I179" s="22">
        <f t="shared" si="99"/>
        <v>0</v>
      </c>
      <c r="J179" s="22">
        <f t="shared" si="99"/>
        <v>0</v>
      </c>
      <c r="K179" s="22">
        <f t="shared" si="99"/>
        <v>0</v>
      </c>
      <c r="L179" s="22">
        <f t="shared" si="99"/>
        <v>750</v>
      </c>
      <c r="M179" s="22">
        <f t="shared" si="99"/>
        <v>0</v>
      </c>
      <c r="N179" s="22">
        <f t="shared" si="99"/>
        <v>13582.12</v>
      </c>
      <c r="O179" s="22">
        <f t="shared" si="99"/>
        <v>378011.95</v>
      </c>
      <c r="P179" s="23">
        <f t="shared" si="93"/>
        <v>396344.07</v>
      </c>
    </row>
    <row r="180" spans="2:21" x14ac:dyDescent="0.25">
      <c r="B180" s="31" t="s">
        <v>314</v>
      </c>
      <c r="C180" s="31" t="s">
        <v>313</v>
      </c>
      <c r="D180" s="25">
        <v>4000</v>
      </c>
      <c r="E180" s="25">
        <v>0</v>
      </c>
      <c r="F180" s="25">
        <v>0</v>
      </c>
      <c r="G180" s="25">
        <v>0</v>
      </c>
      <c r="H180" s="25"/>
      <c r="I180" s="25"/>
      <c r="J180" s="25"/>
      <c r="K180" s="25"/>
      <c r="L180" s="25">
        <v>750</v>
      </c>
      <c r="M180" s="25"/>
      <c r="N180" s="25">
        <v>13582.12</v>
      </c>
      <c r="O180" s="25">
        <v>378011.95</v>
      </c>
      <c r="P180" s="33">
        <f t="shared" si="93"/>
        <v>396344.07</v>
      </c>
    </row>
    <row r="181" spans="2:21" x14ac:dyDescent="0.25">
      <c r="B181" s="21" t="s">
        <v>315</v>
      </c>
      <c r="C181" s="21" t="s">
        <v>316</v>
      </c>
      <c r="D181" s="22">
        <f>+D182+D188</f>
        <v>16287.24</v>
      </c>
      <c r="E181" s="22">
        <f t="shared" ref="E181:N181" si="100">+E182</f>
        <v>0</v>
      </c>
      <c r="F181" s="22">
        <f t="shared" si="100"/>
        <v>0</v>
      </c>
      <c r="G181" s="22">
        <f t="shared" si="100"/>
        <v>0</v>
      </c>
      <c r="H181" s="22">
        <f t="shared" si="100"/>
        <v>0</v>
      </c>
      <c r="I181" s="22">
        <f t="shared" si="100"/>
        <v>0</v>
      </c>
      <c r="J181" s="22">
        <f t="shared" si="100"/>
        <v>0</v>
      </c>
      <c r="K181" s="22">
        <f t="shared" si="100"/>
        <v>0</v>
      </c>
      <c r="L181" s="22">
        <f t="shared" si="100"/>
        <v>0</v>
      </c>
      <c r="M181" s="22">
        <f t="shared" si="100"/>
        <v>0</v>
      </c>
      <c r="N181" s="22">
        <f t="shared" si="100"/>
        <v>13223.53</v>
      </c>
      <c r="O181" s="22">
        <f>+O182+O183</f>
        <v>45968.33</v>
      </c>
      <c r="P181" s="23">
        <f t="shared" si="93"/>
        <v>75479.100000000006</v>
      </c>
    </row>
    <row r="182" spans="2:21" x14ac:dyDescent="0.25">
      <c r="B182" s="31" t="s">
        <v>317</v>
      </c>
      <c r="C182" s="31" t="s">
        <v>318</v>
      </c>
      <c r="D182" s="25">
        <v>12937.24</v>
      </c>
      <c r="E182" s="25">
        <v>0</v>
      </c>
      <c r="F182" s="25">
        <v>0</v>
      </c>
      <c r="G182" s="25"/>
      <c r="H182" s="25"/>
      <c r="I182" s="25"/>
      <c r="J182" s="25"/>
      <c r="K182" s="25"/>
      <c r="L182" s="25"/>
      <c r="M182" s="25"/>
      <c r="N182" s="25">
        <v>13223.53</v>
      </c>
      <c r="O182" s="25">
        <v>42185</v>
      </c>
      <c r="P182" s="33">
        <f t="shared" si="93"/>
        <v>68345.77</v>
      </c>
    </row>
    <row r="183" spans="2:21" x14ac:dyDescent="0.25">
      <c r="B183" s="31" t="s">
        <v>651</v>
      </c>
      <c r="C183" s="31" t="s">
        <v>652</v>
      </c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>
        <v>3783.33</v>
      </c>
      <c r="P183" s="33"/>
    </row>
    <row r="184" spans="2:21" x14ac:dyDescent="0.25">
      <c r="B184" s="21" t="s">
        <v>319</v>
      </c>
      <c r="C184" s="21" t="s">
        <v>320</v>
      </c>
      <c r="D184" s="22">
        <f>SUM(D185:D187)</f>
        <v>0</v>
      </c>
      <c r="E184" s="22">
        <f t="shared" ref="E184:N184" si="101">SUM(E185:E187)</f>
        <v>0</v>
      </c>
      <c r="F184" s="22">
        <f t="shared" si="101"/>
        <v>0</v>
      </c>
      <c r="G184" s="22">
        <f t="shared" si="101"/>
        <v>0</v>
      </c>
      <c r="H184" s="22">
        <f t="shared" si="101"/>
        <v>0</v>
      </c>
      <c r="I184" s="22">
        <f t="shared" si="101"/>
        <v>0</v>
      </c>
      <c r="J184" s="22">
        <f t="shared" si="101"/>
        <v>0</v>
      </c>
      <c r="K184" s="22">
        <f t="shared" si="101"/>
        <v>0</v>
      </c>
      <c r="L184" s="22">
        <f t="shared" si="101"/>
        <v>34515</v>
      </c>
      <c r="M184" s="22">
        <f t="shared" si="101"/>
        <v>0</v>
      </c>
      <c r="N184" s="22">
        <f t="shared" si="101"/>
        <v>1006.3</v>
      </c>
      <c r="O184" s="22">
        <f>+O187</f>
        <v>12941.51</v>
      </c>
      <c r="P184" s="23">
        <f t="shared" si="93"/>
        <v>48462.810000000005</v>
      </c>
    </row>
    <row r="185" spans="2:21" x14ac:dyDescent="0.25">
      <c r="B185" s="31" t="s">
        <v>321</v>
      </c>
      <c r="C185" s="31" t="s">
        <v>322</v>
      </c>
      <c r="D185" s="25">
        <v>0</v>
      </c>
      <c r="E185" s="25">
        <v>0</v>
      </c>
      <c r="F185" s="25">
        <v>0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33">
        <f t="shared" si="93"/>
        <v>0</v>
      </c>
    </row>
    <row r="186" spans="2:21" x14ac:dyDescent="0.25">
      <c r="B186" s="31" t="s">
        <v>323</v>
      </c>
      <c r="C186" s="31" t="s">
        <v>324</v>
      </c>
      <c r="D186" s="25">
        <v>0</v>
      </c>
      <c r="E186" s="25">
        <v>0</v>
      </c>
      <c r="F186" s="25">
        <v>0</v>
      </c>
      <c r="G186" s="25"/>
      <c r="H186" s="25"/>
      <c r="I186" s="25"/>
      <c r="J186" s="25"/>
      <c r="K186" s="25"/>
      <c r="L186" s="25"/>
      <c r="M186" s="25"/>
      <c r="N186" s="25">
        <v>1006.3</v>
      </c>
      <c r="O186" s="25"/>
      <c r="P186" s="33">
        <f t="shared" si="93"/>
        <v>1006.3</v>
      </c>
    </row>
    <row r="187" spans="2:21" x14ac:dyDescent="0.25">
      <c r="B187" s="252" t="s">
        <v>630</v>
      </c>
      <c r="C187" s="252" t="s">
        <v>631</v>
      </c>
      <c r="D187" s="250"/>
      <c r="E187" s="250"/>
      <c r="F187" s="250"/>
      <c r="G187" s="250"/>
      <c r="H187" s="250"/>
      <c r="I187" s="250"/>
      <c r="J187" s="250"/>
      <c r="K187" s="250"/>
      <c r="L187" s="250">
        <v>34515</v>
      </c>
      <c r="M187" s="250"/>
      <c r="N187" s="250"/>
      <c r="O187" s="250">
        <v>12941.51</v>
      </c>
      <c r="P187" s="253">
        <f t="shared" si="93"/>
        <v>47456.51</v>
      </c>
    </row>
    <row r="188" spans="2:21" ht="15.75" thickBot="1" x14ac:dyDescent="0.3">
      <c r="B188" s="252" t="s">
        <v>662</v>
      </c>
      <c r="C188" s="261" t="s">
        <v>663</v>
      </c>
      <c r="D188" s="262">
        <v>3350</v>
      </c>
      <c r="E188" s="262"/>
      <c r="F188" s="262"/>
      <c r="G188" s="262"/>
      <c r="H188" s="262"/>
      <c r="I188" s="262"/>
      <c r="J188" s="262"/>
      <c r="K188" s="262"/>
      <c r="L188" s="262"/>
      <c r="M188" s="262"/>
      <c r="N188" s="262"/>
      <c r="O188" s="262"/>
      <c r="P188" s="263"/>
    </row>
    <row r="189" spans="2:21" s="17" customFormat="1" x14ac:dyDescent="0.25">
      <c r="B189" s="14">
        <v>2.4</v>
      </c>
      <c r="C189" s="15" t="s">
        <v>325</v>
      </c>
      <c r="D189" s="16">
        <f>+D190+D193</f>
        <v>0</v>
      </c>
      <c r="E189" s="16">
        <f t="shared" ref="E189:O189" si="102">+E190+E193</f>
        <v>0</v>
      </c>
      <c r="F189" s="16">
        <f t="shared" si="102"/>
        <v>0</v>
      </c>
      <c r="G189" s="16">
        <f t="shared" ref="G189" si="103">+G190+G193</f>
        <v>18849.509999999998</v>
      </c>
      <c r="H189" s="16">
        <f t="shared" si="102"/>
        <v>398536.08</v>
      </c>
      <c r="I189" s="16">
        <f t="shared" si="102"/>
        <v>39927.67</v>
      </c>
      <c r="J189" s="16">
        <f t="shared" si="102"/>
        <v>0</v>
      </c>
      <c r="K189" s="16">
        <f t="shared" si="102"/>
        <v>0</v>
      </c>
      <c r="L189" s="16">
        <f t="shared" si="102"/>
        <v>0</v>
      </c>
      <c r="M189" s="16">
        <f t="shared" si="102"/>
        <v>87493.77</v>
      </c>
      <c r="N189" s="16">
        <f t="shared" si="102"/>
        <v>0</v>
      </c>
      <c r="O189" s="16">
        <f t="shared" si="102"/>
        <v>2983601.9</v>
      </c>
      <c r="P189" s="16">
        <f t="shared" si="93"/>
        <v>3528408.9299999997</v>
      </c>
      <c r="Q189" s="254"/>
      <c r="R189" s="49"/>
      <c r="S189" s="49"/>
      <c r="T189" s="49"/>
      <c r="U189" s="49"/>
    </row>
    <row r="190" spans="2:21" x14ac:dyDescent="0.25">
      <c r="B190" s="21" t="s">
        <v>51</v>
      </c>
      <c r="C190" s="21" t="s">
        <v>326</v>
      </c>
      <c r="D190" s="22">
        <f>+D191</f>
        <v>0</v>
      </c>
      <c r="E190" s="22">
        <f t="shared" ref="E190:O191" si="104">+E191</f>
        <v>0</v>
      </c>
      <c r="F190" s="22">
        <f t="shared" si="104"/>
        <v>0</v>
      </c>
      <c r="G190" s="22">
        <f t="shared" si="104"/>
        <v>0</v>
      </c>
      <c r="H190" s="22">
        <f t="shared" si="104"/>
        <v>0</v>
      </c>
      <c r="I190" s="22">
        <f t="shared" si="104"/>
        <v>0</v>
      </c>
      <c r="J190" s="22">
        <f t="shared" si="104"/>
        <v>0</v>
      </c>
      <c r="K190" s="22">
        <f t="shared" si="104"/>
        <v>0</v>
      </c>
      <c r="L190" s="22">
        <f t="shared" si="104"/>
        <v>0</v>
      </c>
      <c r="M190" s="22">
        <f t="shared" si="104"/>
        <v>0</v>
      </c>
      <c r="N190" s="22">
        <f t="shared" si="104"/>
        <v>0</v>
      </c>
      <c r="O190" s="22">
        <f t="shared" si="104"/>
        <v>0</v>
      </c>
      <c r="P190" s="23">
        <f t="shared" si="93"/>
        <v>0</v>
      </c>
    </row>
    <row r="191" spans="2:21" x14ac:dyDescent="0.25">
      <c r="B191" s="21" t="s">
        <v>327</v>
      </c>
      <c r="C191" s="21" t="s">
        <v>328</v>
      </c>
      <c r="D191" s="22">
        <f>+D192</f>
        <v>0</v>
      </c>
      <c r="E191" s="22">
        <f t="shared" si="104"/>
        <v>0</v>
      </c>
      <c r="F191" s="22">
        <f t="shared" si="104"/>
        <v>0</v>
      </c>
      <c r="G191" s="22">
        <f t="shared" si="104"/>
        <v>0</v>
      </c>
      <c r="H191" s="22">
        <f t="shared" si="104"/>
        <v>0</v>
      </c>
      <c r="I191" s="22">
        <f t="shared" si="104"/>
        <v>0</v>
      </c>
      <c r="J191" s="22">
        <f t="shared" si="104"/>
        <v>0</v>
      </c>
      <c r="K191" s="22">
        <f t="shared" si="104"/>
        <v>0</v>
      </c>
      <c r="L191" s="22">
        <f t="shared" si="104"/>
        <v>0</v>
      </c>
      <c r="M191" s="22">
        <f t="shared" si="104"/>
        <v>0</v>
      </c>
      <c r="N191" s="22">
        <f t="shared" si="104"/>
        <v>0</v>
      </c>
      <c r="O191" s="22">
        <f t="shared" si="104"/>
        <v>0</v>
      </c>
      <c r="P191" s="23">
        <f t="shared" si="93"/>
        <v>0</v>
      </c>
    </row>
    <row r="192" spans="2:21" x14ac:dyDescent="0.25">
      <c r="B192" s="31" t="s">
        <v>329</v>
      </c>
      <c r="C192" s="31" t="s">
        <v>330</v>
      </c>
      <c r="D192" s="25">
        <v>0</v>
      </c>
      <c r="E192" s="25">
        <v>0</v>
      </c>
      <c r="F192" s="25">
        <v>0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33">
        <f t="shared" si="93"/>
        <v>0</v>
      </c>
    </row>
    <row r="193" spans="2:21" x14ac:dyDescent="0.25">
      <c r="B193" s="21" t="s">
        <v>53</v>
      </c>
      <c r="C193" s="21" t="s">
        <v>331</v>
      </c>
      <c r="D193" s="22">
        <f>+D194+D196</f>
        <v>0</v>
      </c>
      <c r="E193" s="22">
        <f t="shared" ref="E193:O193" si="105">+E194+E196</f>
        <v>0</v>
      </c>
      <c r="F193" s="22">
        <f t="shared" si="105"/>
        <v>0</v>
      </c>
      <c r="G193" s="22">
        <f t="shared" ref="G193" si="106">+G194+G196</f>
        <v>18849.509999999998</v>
      </c>
      <c r="H193" s="22">
        <f t="shared" si="105"/>
        <v>398536.08</v>
      </c>
      <c r="I193" s="22">
        <f t="shared" si="105"/>
        <v>39927.67</v>
      </c>
      <c r="J193" s="22">
        <f t="shared" si="105"/>
        <v>0</v>
      </c>
      <c r="K193" s="22">
        <f t="shared" si="105"/>
        <v>0</v>
      </c>
      <c r="L193" s="22">
        <f t="shared" si="105"/>
        <v>0</v>
      </c>
      <c r="M193" s="22">
        <f t="shared" si="105"/>
        <v>87493.77</v>
      </c>
      <c r="N193" s="22">
        <f t="shared" si="105"/>
        <v>0</v>
      </c>
      <c r="O193" s="22">
        <f t="shared" si="105"/>
        <v>2983601.9</v>
      </c>
      <c r="P193" s="23">
        <f t="shared" si="93"/>
        <v>3528408.9299999997</v>
      </c>
    </row>
    <row r="194" spans="2:21" x14ac:dyDescent="0.25">
      <c r="B194" s="21" t="s">
        <v>332</v>
      </c>
      <c r="C194" s="21" t="s">
        <v>333</v>
      </c>
      <c r="D194" s="22">
        <f>+D195</f>
        <v>0</v>
      </c>
      <c r="E194" s="22">
        <f t="shared" ref="E194:O194" si="107">+E195</f>
        <v>0</v>
      </c>
      <c r="F194" s="22">
        <f t="shared" si="107"/>
        <v>0</v>
      </c>
      <c r="G194" s="22">
        <f t="shared" si="107"/>
        <v>0</v>
      </c>
      <c r="H194" s="22">
        <f t="shared" si="107"/>
        <v>398536.08</v>
      </c>
      <c r="I194" s="22">
        <f t="shared" si="107"/>
        <v>0</v>
      </c>
      <c r="J194" s="22">
        <f t="shared" si="107"/>
        <v>0</v>
      </c>
      <c r="K194" s="22">
        <f t="shared" si="107"/>
        <v>0</v>
      </c>
      <c r="L194" s="22">
        <f t="shared" si="107"/>
        <v>0</v>
      </c>
      <c r="M194" s="22">
        <f t="shared" si="107"/>
        <v>0</v>
      </c>
      <c r="N194" s="22">
        <f t="shared" si="107"/>
        <v>0</v>
      </c>
      <c r="O194" s="22">
        <f t="shared" si="107"/>
        <v>2983601.9</v>
      </c>
      <c r="P194" s="23">
        <f t="shared" si="93"/>
        <v>3382137.98</v>
      </c>
    </row>
    <row r="195" spans="2:21" x14ac:dyDescent="0.25">
      <c r="B195" s="31" t="s">
        <v>334</v>
      </c>
      <c r="C195" s="31" t="s">
        <v>333</v>
      </c>
      <c r="D195" s="25">
        <v>0</v>
      </c>
      <c r="E195" s="25">
        <v>0</v>
      </c>
      <c r="F195" s="25">
        <v>0</v>
      </c>
      <c r="G195" s="25"/>
      <c r="H195" s="25">
        <v>398536.08</v>
      </c>
      <c r="I195" s="25"/>
      <c r="J195" s="25"/>
      <c r="K195" s="25"/>
      <c r="L195" s="25"/>
      <c r="M195" s="25"/>
      <c r="N195" s="25"/>
      <c r="O195" s="25">
        <v>2983601.9</v>
      </c>
      <c r="P195" s="33">
        <f t="shared" si="93"/>
        <v>3382137.98</v>
      </c>
    </row>
    <row r="196" spans="2:21" x14ac:dyDescent="0.25">
      <c r="B196" s="21" t="s">
        <v>335</v>
      </c>
      <c r="C196" s="21" t="s">
        <v>336</v>
      </c>
      <c r="D196" s="22">
        <f>+D197</f>
        <v>0</v>
      </c>
      <c r="E196" s="22">
        <f t="shared" ref="E196:O196" si="108">+E197</f>
        <v>0</v>
      </c>
      <c r="F196" s="22">
        <f t="shared" si="108"/>
        <v>0</v>
      </c>
      <c r="G196" s="22">
        <f t="shared" si="108"/>
        <v>18849.509999999998</v>
      </c>
      <c r="H196" s="22">
        <f t="shared" si="108"/>
        <v>0</v>
      </c>
      <c r="I196" s="22">
        <f t="shared" si="108"/>
        <v>39927.67</v>
      </c>
      <c r="J196" s="22">
        <f t="shared" si="108"/>
        <v>0</v>
      </c>
      <c r="K196" s="22">
        <f t="shared" si="108"/>
        <v>0</v>
      </c>
      <c r="L196" s="22">
        <f t="shared" si="108"/>
        <v>0</v>
      </c>
      <c r="M196" s="22">
        <f t="shared" si="108"/>
        <v>87493.77</v>
      </c>
      <c r="N196" s="22">
        <f t="shared" si="108"/>
        <v>0</v>
      </c>
      <c r="O196" s="22">
        <f t="shared" si="108"/>
        <v>0</v>
      </c>
      <c r="P196" s="23">
        <f t="shared" si="93"/>
        <v>146270.95000000001</v>
      </c>
    </row>
    <row r="197" spans="2:21" ht="15.75" thickBot="1" x14ac:dyDescent="0.3">
      <c r="B197" s="31" t="s">
        <v>337</v>
      </c>
      <c r="C197" s="31" t="s">
        <v>336</v>
      </c>
      <c r="D197" s="25">
        <v>0</v>
      </c>
      <c r="E197" s="25">
        <v>0</v>
      </c>
      <c r="F197" s="25">
        <v>0</v>
      </c>
      <c r="G197" s="25">
        <v>18849.509999999998</v>
      </c>
      <c r="H197" s="25"/>
      <c r="I197" s="25">
        <v>39927.67</v>
      </c>
      <c r="J197" s="25"/>
      <c r="K197" s="25"/>
      <c r="L197" s="25"/>
      <c r="M197" s="25">
        <v>87493.77</v>
      </c>
      <c r="N197" s="25"/>
      <c r="O197" s="25"/>
      <c r="P197" s="33">
        <f t="shared" si="93"/>
        <v>146270.95000000001</v>
      </c>
    </row>
    <row r="198" spans="2:21" s="17" customFormat="1" x14ac:dyDescent="0.25">
      <c r="B198" s="14">
        <v>2.6</v>
      </c>
      <c r="C198" s="15" t="s">
        <v>338</v>
      </c>
      <c r="D198" s="16">
        <f>+D199+D206+D211+D214+D225+D228</f>
        <v>4950.96</v>
      </c>
      <c r="E198" s="16">
        <f t="shared" ref="E198:N198" si="109">+E199+E206+E211+E214+E225+E228</f>
        <v>0</v>
      </c>
      <c r="F198" s="16">
        <f t="shared" si="109"/>
        <v>0</v>
      </c>
      <c r="G198" s="16">
        <f t="shared" si="109"/>
        <v>0</v>
      </c>
      <c r="H198" s="16">
        <f t="shared" si="109"/>
        <v>0</v>
      </c>
      <c r="I198" s="16">
        <f t="shared" si="109"/>
        <v>0</v>
      </c>
      <c r="J198" s="16">
        <f t="shared" si="109"/>
        <v>0</v>
      </c>
      <c r="K198" s="16">
        <f t="shared" si="109"/>
        <v>67999.009999999995</v>
      </c>
      <c r="L198" s="16">
        <f t="shared" si="109"/>
        <v>0</v>
      </c>
      <c r="M198" s="16">
        <f t="shared" si="109"/>
        <v>57000</v>
      </c>
      <c r="N198" s="16">
        <f t="shared" si="109"/>
        <v>34047.19</v>
      </c>
      <c r="O198" s="16">
        <f>+O199+O214+O217</f>
        <v>194332.55</v>
      </c>
      <c r="P198" s="16">
        <f t="shared" si="93"/>
        <v>358329.70999999996</v>
      </c>
      <c r="Q198" s="49"/>
      <c r="R198" s="49"/>
      <c r="S198" s="49"/>
      <c r="T198" s="49"/>
      <c r="U198" s="49"/>
    </row>
    <row r="199" spans="2:21" x14ac:dyDescent="0.25">
      <c r="B199" s="21" t="s">
        <v>56</v>
      </c>
      <c r="C199" s="21" t="s">
        <v>339</v>
      </c>
      <c r="D199" s="22">
        <f>+D200+D202+D204</f>
        <v>4950.96</v>
      </c>
      <c r="E199" s="22">
        <f t="shared" ref="E199:O199" si="110">+E200+E202+E204</f>
        <v>0</v>
      </c>
      <c r="F199" s="22">
        <f t="shared" si="110"/>
        <v>0</v>
      </c>
      <c r="G199" s="22">
        <f t="shared" ref="G199" si="111">+G200+G202+G204</f>
        <v>0</v>
      </c>
      <c r="H199" s="22">
        <f t="shared" si="110"/>
        <v>0</v>
      </c>
      <c r="I199" s="22">
        <f t="shared" si="110"/>
        <v>0</v>
      </c>
      <c r="J199" s="22">
        <f t="shared" si="110"/>
        <v>0</v>
      </c>
      <c r="K199" s="22">
        <f t="shared" si="110"/>
        <v>0</v>
      </c>
      <c r="L199" s="22">
        <f t="shared" si="110"/>
        <v>0</v>
      </c>
      <c r="M199" s="22">
        <f t="shared" si="110"/>
        <v>0</v>
      </c>
      <c r="N199" s="22">
        <f t="shared" si="110"/>
        <v>34047.19</v>
      </c>
      <c r="O199" s="22">
        <f t="shared" si="110"/>
        <v>55082.400000000001</v>
      </c>
      <c r="P199" s="23">
        <f t="shared" si="93"/>
        <v>94080.55</v>
      </c>
    </row>
    <row r="200" spans="2:21" x14ac:dyDescent="0.25">
      <c r="B200" s="21" t="s">
        <v>340</v>
      </c>
      <c r="C200" s="21" t="s">
        <v>341</v>
      </c>
      <c r="D200" s="22">
        <f>+D201</f>
        <v>0</v>
      </c>
      <c r="E200" s="22">
        <f t="shared" ref="E200:O200" si="112">+E201</f>
        <v>0</v>
      </c>
      <c r="F200" s="22">
        <f t="shared" si="112"/>
        <v>0</v>
      </c>
      <c r="G200" s="22">
        <f t="shared" si="112"/>
        <v>0</v>
      </c>
      <c r="H200" s="22">
        <f t="shared" si="112"/>
        <v>0</v>
      </c>
      <c r="I200" s="22">
        <f t="shared" si="112"/>
        <v>0</v>
      </c>
      <c r="J200" s="22">
        <f t="shared" si="112"/>
        <v>0</v>
      </c>
      <c r="K200" s="22">
        <f t="shared" si="112"/>
        <v>0</v>
      </c>
      <c r="L200" s="22">
        <f t="shared" si="112"/>
        <v>0</v>
      </c>
      <c r="M200" s="22">
        <f t="shared" si="112"/>
        <v>0</v>
      </c>
      <c r="N200" s="22">
        <f t="shared" si="112"/>
        <v>0</v>
      </c>
      <c r="O200" s="22">
        <f t="shared" si="112"/>
        <v>55082.400000000001</v>
      </c>
      <c r="P200" s="23">
        <f t="shared" si="93"/>
        <v>55082.400000000001</v>
      </c>
    </row>
    <row r="201" spans="2:21" x14ac:dyDescent="0.25">
      <c r="B201" s="31" t="s">
        <v>342</v>
      </c>
      <c r="C201" s="31" t="s">
        <v>341</v>
      </c>
      <c r="D201" s="25">
        <v>0</v>
      </c>
      <c r="E201" s="25">
        <v>0</v>
      </c>
      <c r="F201" s="25">
        <v>0</v>
      </c>
      <c r="G201" s="25"/>
      <c r="H201" s="25"/>
      <c r="I201" s="25"/>
      <c r="J201" s="25"/>
      <c r="K201" s="25"/>
      <c r="L201" s="25"/>
      <c r="M201" s="25"/>
      <c r="N201" s="25"/>
      <c r="O201" s="25">
        <v>55082.400000000001</v>
      </c>
      <c r="P201" s="47">
        <f t="shared" si="93"/>
        <v>55082.400000000001</v>
      </c>
    </row>
    <row r="202" spans="2:21" x14ac:dyDescent="0.25">
      <c r="B202" s="21" t="s">
        <v>343</v>
      </c>
      <c r="C202" s="21" t="s">
        <v>344</v>
      </c>
      <c r="D202" s="22">
        <f>+D203</f>
        <v>0</v>
      </c>
      <c r="E202" s="22">
        <f t="shared" ref="E202:O202" si="113">+E203</f>
        <v>0</v>
      </c>
      <c r="F202" s="22">
        <f t="shared" si="113"/>
        <v>0</v>
      </c>
      <c r="G202" s="22">
        <f t="shared" si="113"/>
        <v>0</v>
      </c>
      <c r="H202" s="22">
        <f t="shared" si="113"/>
        <v>0</v>
      </c>
      <c r="I202" s="22">
        <f t="shared" si="113"/>
        <v>0</v>
      </c>
      <c r="J202" s="22">
        <f t="shared" si="113"/>
        <v>0</v>
      </c>
      <c r="K202" s="22">
        <f t="shared" si="113"/>
        <v>0</v>
      </c>
      <c r="L202" s="22">
        <f t="shared" si="113"/>
        <v>0</v>
      </c>
      <c r="M202" s="22">
        <f t="shared" si="113"/>
        <v>0</v>
      </c>
      <c r="N202" s="22">
        <f t="shared" si="113"/>
        <v>0</v>
      </c>
      <c r="O202" s="22">
        <f t="shared" si="113"/>
        <v>0</v>
      </c>
      <c r="P202" s="23">
        <f t="shared" si="93"/>
        <v>0</v>
      </c>
    </row>
    <row r="203" spans="2:21" x14ac:dyDescent="0.25">
      <c r="B203" s="31" t="s">
        <v>345</v>
      </c>
      <c r="C203" s="31" t="s">
        <v>344</v>
      </c>
      <c r="D203" s="25">
        <v>0</v>
      </c>
      <c r="E203" s="25">
        <v>0</v>
      </c>
      <c r="F203" s="25">
        <v>0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47">
        <f t="shared" si="93"/>
        <v>0</v>
      </c>
    </row>
    <row r="204" spans="2:21" x14ac:dyDescent="0.25">
      <c r="B204" s="21" t="s">
        <v>346</v>
      </c>
      <c r="C204" s="21" t="s">
        <v>347</v>
      </c>
      <c r="D204" s="22">
        <f>+D205</f>
        <v>4950.96</v>
      </c>
      <c r="E204" s="22">
        <f t="shared" ref="E204:O204" si="114">+E205</f>
        <v>0</v>
      </c>
      <c r="F204" s="22">
        <f t="shared" si="114"/>
        <v>0</v>
      </c>
      <c r="G204" s="22">
        <f t="shared" si="114"/>
        <v>0</v>
      </c>
      <c r="H204" s="22">
        <f t="shared" si="114"/>
        <v>0</v>
      </c>
      <c r="I204" s="22">
        <f t="shared" si="114"/>
        <v>0</v>
      </c>
      <c r="J204" s="22">
        <f t="shared" si="114"/>
        <v>0</v>
      </c>
      <c r="K204" s="22">
        <f t="shared" si="114"/>
        <v>0</v>
      </c>
      <c r="L204" s="22">
        <f t="shared" si="114"/>
        <v>0</v>
      </c>
      <c r="M204" s="22">
        <f t="shared" si="114"/>
        <v>0</v>
      </c>
      <c r="N204" s="22">
        <f t="shared" si="114"/>
        <v>34047.19</v>
      </c>
      <c r="O204" s="22">
        <f t="shared" si="114"/>
        <v>0</v>
      </c>
      <c r="P204" s="23">
        <f t="shared" si="93"/>
        <v>38998.15</v>
      </c>
    </row>
    <row r="205" spans="2:21" x14ac:dyDescent="0.25">
      <c r="B205" s="31" t="s">
        <v>348</v>
      </c>
      <c r="C205" s="31" t="s">
        <v>347</v>
      </c>
      <c r="D205" s="25">
        <v>4950.96</v>
      </c>
      <c r="E205" s="25">
        <v>0</v>
      </c>
      <c r="F205" s="25">
        <v>0</v>
      </c>
      <c r="G205" s="25"/>
      <c r="H205" s="25"/>
      <c r="I205" s="25"/>
      <c r="J205" s="25"/>
      <c r="K205" s="25"/>
      <c r="L205" s="25"/>
      <c r="M205" s="25"/>
      <c r="N205" s="25">
        <v>34047.19</v>
      </c>
      <c r="O205" s="25"/>
      <c r="P205" s="47">
        <f t="shared" si="93"/>
        <v>38998.15</v>
      </c>
    </row>
    <row r="206" spans="2:21" x14ac:dyDescent="0.25">
      <c r="B206" s="21" t="s">
        <v>349</v>
      </c>
      <c r="C206" s="21" t="s">
        <v>388</v>
      </c>
      <c r="D206" s="22">
        <f>+D207+D209</f>
        <v>0</v>
      </c>
      <c r="E206" s="22">
        <f t="shared" ref="E206:O206" si="115">+E207+E209</f>
        <v>0</v>
      </c>
      <c r="F206" s="22">
        <f t="shared" si="115"/>
        <v>0</v>
      </c>
      <c r="G206" s="22">
        <f t="shared" ref="G206" si="116">+G207+G209</f>
        <v>0</v>
      </c>
      <c r="H206" s="22">
        <f t="shared" si="115"/>
        <v>0</v>
      </c>
      <c r="I206" s="22">
        <f t="shared" si="115"/>
        <v>0</v>
      </c>
      <c r="J206" s="22">
        <f t="shared" si="115"/>
        <v>0</v>
      </c>
      <c r="K206" s="22">
        <f t="shared" si="115"/>
        <v>0</v>
      </c>
      <c r="L206" s="22">
        <f t="shared" si="115"/>
        <v>0</v>
      </c>
      <c r="M206" s="22">
        <f t="shared" si="115"/>
        <v>0</v>
      </c>
      <c r="N206" s="22">
        <f t="shared" si="115"/>
        <v>0</v>
      </c>
      <c r="O206" s="22">
        <f t="shared" si="115"/>
        <v>0</v>
      </c>
      <c r="P206" s="23">
        <f t="shared" si="93"/>
        <v>0</v>
      </c>
    </row>
    <row r="207" spans="2:21" x14ac:dyDescent="0.25">
      <c r="B207" s="21" t="s">
        <v>350</v>
      </c>
      <c r="C207" s="21" t="s">
        <v>351</v>
      </c>
      <c r="D207" s="22">
        <f>+D208</f>
        <v>0</v>
      </c>
      <c r="E207" s="22">
        <f t="shared" ref="E207:O207" si="117">+E208</f>
        <v>0</v>
      </c>
      <c r="F207" s="22">
        <f t="shared" si="117"/>
        <v>0</v>
      </c>
      <c r="G207" s="22">
        <f t="shared" si="117"/>
        <v>0</v>
      </c>
      <c r="H207" s="22">
        <f t="shared" si="117"/>
        <v>0</v>
      </c>
      <c r="I207" s="22">
        <f t="shared" si="117"/>
        <v>0</v>
      </c>
      <c r="J207" s="22">
        <f t="shared" si="117"/>
        <v>0</v>
      </c>
      <c r="K207" s="22">
        <f t="shared" si="117"/>
        <v>0</v>
      </c>
      <c r="L207" s="22">
        <f t="shared" si="117"/>
        <v>0</v>
      </c>
      <c r="M207" s="22">
        <f t="shared" si="117"/>
        <v>0</v>
      </c>
      <c r="N207" s="22">
        <f t="shared" si="117"/>
        <v>0</v>
      </c>
      <c r="O207" s="22">
        <f t="shared" si="117"/>
        <v>0</v>
      </c>
      <c r="P207" s="23">
        <f t="shared" si="93"/>
        <v>0</v>
      </c>
    </row>
    <row r="208" spans="2:21" x14ac:dyDescent="0.25">
      <c r="B208" s="31" t="s">
        <v>352</v>
      </c>
      <c r="C208" s="31" t="s">
        <v>351</v>
      </c>
      <c r="D208" s="25">
        <v>0</v>
      </c>
      <c r="E208" s="25">
        <v>0</v>
      </c>
      <c r="F208" s="25">
        <v>0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47">
        <f t="shared" si="93"/>
        <v>0</v>
      </c>
    </row>
    <row r="209" spans="2:16" x14ac:dyDescent="0.25">
      <c r="B209" s="21" t="s">
        <v>353</v>
      </c>
      <c r="C209" s="21" t="s">
        <v>354</v>
      </c>
      <c r="D209" s="22">
        <f>+D210</f>
        <v>0</v>
      </c>
      <c r="E209" s="22">
        <f t="shared" ref="E209:O209" si="118">+E210</f>
        <v>0</v>
      </c>
      <c r="F209" s="22">
        <f t="shared" si="118"/>
        <v>0</v>
      </c>
      <c r="G209" s="22">
        <f t="shared" si="118"/>
        <v>0</v>
      </c>
      <c r="H209" s="22">
        <f t="shared" si="118"/>
        <v>0</v>
      </c>
      <c r="I209" s="22">
        <f t="shared" si="118"/>
        <v>0</v>
      </c>
      <c r="J209" s="22">
        <f t="shared" si="118"/>
        <v>0</v>
      </c>
      <c r="K209" s="22">
        <f t="shared" si="118"/>
        <v>0</v>
      </c>
      <c r="L209" s="22">
        <f t="shared" si="118"/>
        <v>0</v>
      </c>
      <c r="M209" s="22">
        <f t="shared" si="118"/>
        <v>0</v>
      </c>
      <c r="N209" s="22">
        <f t="shared" si="118"/>
        <v>0</v>
      </c>
      <c r="O209" s="22">
        <f t="shared" si="118"/>
        <v>0</v>
      </c>
      <c r="P209" s="23">
        <f t="shared" si="93"/>
        <v>0</v>
      </c>
    </row>
    <row r="210" spans="2:16" x14ac:dyDescent="0.25">
      <c r="B210" s="31" t="s">
        <v>355</v>
      </c>
      <c r="C210" s="31" t="s">
        <v>354</v>
      </c>
      <c r="D210" s="25">
        <v>0</v>
      </c>
      <c r="E210" s="25">
        <v>0</v>
      </c>
      <c r="F210" s="25">
        <v>0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47">
        <f t="shared" si="93"/>
        <v>0</v>
      </c>
    </row>
    <row r="211" spans="2:16" x14ac:dyDescent="0.25">
      <c r="B211" s="21" t="s">
        <v>356</v>
      </c>
      <c r="C211" s="21" t="s">
        <v>357</v>
      </c>
      <c r="D211" s="22">
        <f>+D212</f>
        <v>0</v>
      </c>
      <c r="E211" s="22">
        <f t="shared" ref="E211:O212" si="119">+E212</f>
        <v>0</v>
      </c>
      <c r="F211" s="22">
        <f t="shared" si="119"/>
        <v>0</v>
      </c>
      <c r="G211" s="22">
        <f t="shared" si="119"/>
        <v>0</v>
      </c>
      <c r="H211" s="22">
        <f t="shared" si="119"/>
        <v>0</v>
      </c>
      <c r="I211" s="22">
        <f t="shared" si="119"/>
        <v>0</v>
      </c>
      <c r="J211" s="22">
        <f t="shared" si="119"/>
        <v>0</v>
      </c>
      <c r="K211" s="22">
        <f t="shared" si="119"/>
        <v>0</v>
      </c>
      <c r="L211" s="22">
        <f t="shared" si="119"/>
        <v>0</v>
      </c>
      <c r="M211" s="22">
        <f t="shared" si="119"/>
        <v>0</v>
      </c>
      <c r="N211" s="22">
        <f t="shared" si="119"/>
        <v>0</v>
      </c>
      <c r="O211" s="22">
        <f t="shared" si="119"/>
        <v>0</v>
      </c>
      <c r="P211" s="23">
        <f t="shared" si="93"/>
        <v>0</v>
      </c>
    </row>
    <row r="212" spans="2:16" x14ac:dyDescent="0.25">
      <c r="B212" s="21" t="s">
        <v>358</v>
      </c>
      <c r="C212" s="21" t="s">
        <v>359</v>
      </c>
      <c r="D212" s="22">
        <f>+D213</f>
        <v>0</v>
      </c>
      <c r="E212" s="22">
        <f t="shared" si="119"/>
        <v>0</v>
      </c>
      <c r="F212" s="22">
        <f t="shared" si="119"/>
        <v>0</v>
      </c>
      <c r="G212" s="22">
        <f t="shared" si="119"/>
        <v>0</v>
      </c>
      <c r="H212" s="22">
        <f t="shared" si="119"/>
        <v>0</v>
      </c>
      <c r="I212" s="22">
        <f t="shared" si="119"/>
        <v>0</v>
      </c>
      <c r="J212" s="22">
        <f t="shared" si="119"/>
        <v>0</v>
      </c>
      <c r="K212" s="22">
        <f t="shared" si="119"/>
        <v>0</v>
      </c>
      <c r="L212" s="22">
        <f t="shared" si="119"/>
        <v>0</v>
      </c>
      <c r="M212" s="22">
        <f t="shared" si="119"/>
        <v>0</v>
      </c>
      <c r="N212" s="22">
        <f t="shared" si="119"/>
        <v>0</v>
      </c>
      <c r="O212" s="22">
        <f t="shared" si="119"/>
        <v>0</v>
      </c>
      <c r="P212" s="23">
        <f t="shared" si="93"/>
        <v>0</v>
      </c>
    </row>
    <row r="213" spans="2:16" x14ac:dyDescent="0.25">
      <c r="B213" s="31" t="s">
        <v>360</v>
      </c>
      <c r="C213" s="31" t="s">
        <v>359</v>
      </c>
      <c r="D213" s="25">
        <v>0</v>
      </c>
      <c r="E213" s="25">
        <v>0</v>
      </c>
      <c r="F213" s="25">
        <v>0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47">
        <f t="shared" si="93"/>
        <v>0</v>
      </c>
    </row>
    <row r="214" spans="2:16" x14ac:dyDescent="0.25">
      <c r="B214" s="21" t="s">
        <v>58</v>
      </c>
      <c r="C214" s="21" t="s">
        <v>361</v>
      </c>
      <c r="D214" s="22">
        <f>+D217+D221</f>
        <v>0</v>
      </c>
      <c r="E214" s="22">
        <f t="shared" ref="E214:N214" si="120">+E217+E221</f>
        <v>0</v>
      </c>
      <c r="F214" s="22">
        <f t="shared" si="120"/>
        <v>0</v>
      </c>
      <c r="G214" s="22">
        <f t="shared" ref="G214" si="121">+G217+G221</f>
        <v>0</v>
      </c>
      <c r="H214" s="22">
        <f t="shared" si="120"/>
        <v>0</v>
      </c>
      <c r="I214" s="22">
        <f t="shared" si="120"/>
        <v>0</v>
      </c>
      <c r="J214" s="22">
        <f t="shared" si="120"/>
        <v>0</v>
      </c>
      <c r="K214" s="22">
        <f t="shared" si="120"/>
        <v>67999.009999999995</v>
      </c>
      <c r="L214" s="22">
        <f t="shared" si="120"/>
        <v>0</v>
      </c>
      <c r="M214" s="22">
        <f t="shared" si="120"/>
        <v>57000</v>
      </c>
      <c r="N214" s="22">
        <f t="shared" si="120"/>
        <v>0</v>
      </c>
      <c r="O214" s="22">
        <f>+O216</f>
        <v>18461.54</v>
      </c>
      <c r="P214" s="23">
        <f t="shared" si="93"/>
        <v>143460.54999999999</v>
      </c>
    </row>
    <row r="215" spans="2:16" x14ac:dyDescent="0.25">
      <c r="B215" s="21" t="s">
        <v>653</v>
      </c>
      <c r="C215" s="21" t="s">
        <v>654</v>
      </c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3"/>
    </row>
    <row r="216" spans="2:16" x14ac:dyDescent="0.25">
      <c r="B216" s="31" t="s">
        <v>655</v>
      </c>
      <c r="C216" s="31" t="s">
        <v>656</v>
      </c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5">
        <v>18461.54</v>
      </c>
      <c r="P216" s="23"/>
    </row>
    <row r="217" spans="2:16" x14ac:dyDescent="0.25">
      <c r="B217" s="21" t="s">
        <v>362</v>
      </c>
      <c r="C217" s="21" t="s">
        <v>363</v>
      </c>
      <c r="D217" s="22">
        <f>+D218</f>
        <v>0</v>
      </c>
      <c r="E217" s="22">
        <f t="shared" ref="E217:N217" si="122">+E218</f>
        <v>0</v>
      </c>
      <c r="F217" s="22">
        <f t="shared" si="122"/>
        <v>0</v>
      </c>
      <c r="G217" s="22">
        <f t="shared" si="122"/>
        <v>0</v>
      </c>
      <c r="H217" s="22">
        <f t="shared" si="122"/>
        <v>0</v>
      </c>
      <c r="I217" s="22">
        <f t="shared" si="122"/>
        <v>0</v>
      </c>
      <c r="J217" s="22">
        <f t="shared" si="122"/>
        <v>0</v>
      </c>
      <c r="K217" s="22">
        <f t="shared" si="122"/>
        <v>67999.009999999995</v>
      </c>
      <c r="L217" s="22">
        <f t="shared" si="122"/>
        <v>0</v>
      </c>
      <c r="M217" s="22">
        <f t="shared" si="122"/>
        <v>57000</v>
      </c>
      <c r="N217" s="22">
        <f t="shared" si="122"/>
        <v>0</v>
      </c>
      <c r="O217" s="22">
        <f>+O220+O224</f>
        <v>120788.61</v>
      </c>
      <c r="P217" s="23">
        <f t="shared" si="93"/>
        <v>245787.62</v>
      </c>
    </row>
    <row r="218" spans="2:16" x14ac:dyDescent="0.25">
      <c r="B218" s="31" t="s">
        <v>364</v>
      </c>
      <c r="C218" s="31" t="s">
        <v>627</v>
      </c>
      <c r="D218" s="25">
        <v>0</v>
      </c>
      <c r="E218" s="25">
        <v>0</v>
      </c>
      <c r="F218" s="25">
        <v>0</v>
      </c>
      <c r="G218" s="25"/>
      <c r="H218" s="25"/>
      <c r="I218" s="25"/>
      <c r="J218" s="25"/>
      <c r="K218" s="25">
        <v>67999.009999999995</v>
      </c>
      <c r="L218" s="25"/>
      <c r="M218" s="25">
        <v>57000</v>
      </c>
      <c r="N218" s="25"/>
      <c r="O218" s="25"/>
      <c r="P218" s="47">
        <f t="shared" si="93"/>
        <v>124999.01</v>
      </c>
    </row>
    <row r="219" spans="2:16" x14ac:dyDescent="0.25">
      <c r="B219" s="21" t="s">
        <v>657</v>
      </c>
      <c r="C219" s="21" t="s">
        <v>658</v>
      </c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47"/>
    </row>
    <row r="220" spans="2:16" x14ac:dyDescent="0.25">
      <c r="B220" s="31" t="s">
        <v>518</v>
      </c>
      <c r="C220" s="31" t="s">
        <v>658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>
        <v>115404</v>
      </c>
      <c r="P220" s="47"/>
    </row>
    <row r="221" spans="2:16" x14ac:dyDescent="0.25">
      <c r="B221" s="21" t="s">
        <v>365</v>
      </c>
      <c r="C221" s="21" t="s">
        <v>366</v>
      </c>
      <c r="D221" s="22">
        <f>+D222</f>
        <v>0</v>
      </c>
      <c r="E221" s="22">
        <f t="shared" ref="E221:O221" si="123">+E222</f>
        <v>0</v>
      </c>
      <c r="F221" s="22">
        <f t="shared" si="123"/>
        <v>0</v>
      </c>
      <c r="G221" s="22">
        <f t="shared" si="123"/>
        <v>0</v>
      </c>
      <c r="H221" s="22">
        <f t="shared" si="123"/>
        <v>0</v>
      </c>
      <c r="I221" s="22">
        <f t="shared" si="123"/>
        <v>0</v>
      </c>
      <c r="J221" s="22">
        <f t="shared" si="123"/>
        <v>0</v>
      </c>
      <c r="K221" s="22">
        <f t="shared" si="123"/>
        <v>0</v>
      </c>
      <c r="L221" s="22">
        <f t="shared" si="123"/>
        <v>0</v>
      </c>
      <c r="M221" s="22">
        <f t="shared" si="123"/>
        <v>0</v>
      </c>
      <c r="N221" s="22">
        <f t="shared" si="123"/>
        <v>0</v>
      </c>
      <c r="O221" s="22">
        <f t="shared" si="123"/>
        <v>0</v>
      </c>
      <c r="P221" s="23">
        <f t="shared" si="93"/>
        <v>0</v>
      </c>
    </row>
    <row r="222" spans="2:16" x14ac:dyDescent="0.25">
      <c r="B222" s="31" t="s">
        <v>367</v>
      </c>
      <c r="C222" s="31" t="s">
        <v>366</v>
      </c>
      <c r="D222" s="25">
        <v>0</v>
      </c>
      <c r="E222" s="25">
        <v>0</v>
      </c>
      <c r="F222" s="25">
        <v>0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47">
        <f t="shared" si="93"/>
        <v>0</v>
      </c>
    </row>
    <row r="223" spans="2:16" x14ac:dyDescent="0.25">
      <c r="B223" s="21" t="s">
        <v>659</v>
      </c>
      <c r="C223" s="21" t="s">
        <v>660</v>
      </c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47"/>
    </row>
    <row r="224" spans="2:16" x14ac:dyDescent="0.25">
      <c r="B224" s="31" t="s">
        <v>661</v>
      </c>
      <c r="C224" s="31" t="s">
        <v>660</v>
      </c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>
        <v>5384.61</v>
      </c>
      <c r="P224" s="47"/>
    </row>
    <row r="225" spans="2:21" x14ac:dyDescent="0.25">
      <c r="B225" s="21" t="s">
        <v>60</v>
      </c>
      <c r="C225" s="21" t="s">
        <v>368</v>
      </c>
      <c r="D225" s="22">
        <f>+D226</f>
        <v>0</v>
      </c>
      <c r="E225" s="22">
        <f t="shared" ref="E225:O226" si="124">+E226</f>
        <v>0</v>
      </c>
      <c r="F225" s="22">
        <f t="shared" si="124"/>
        <v>0</v>
      </c>
      <c r="G225" s="22">
        <f t="shared" si="124"/>
        <v>0</v>
      </c>
      <c r="H225" s="22">
        <f t="shared" si="124"/>
        <v>0</v>
      </c>
      <c r="I225" s="22">
        <f t="shared" si="124"/>
        <v>0</v>
      </c>
      <c r="J225" s="22">
        <f t="shared" si="124"/>
        <v>0</v>
      </c>
      <c r="K225" s="22">
        <f t="shared" si="124"/>
        <v>0</v>
      </c>
      <c r="L225" s="22">
        <f t="shared" si="124"/>
        <v>0</v>
      </c>
      <c r="M225" s="22">
        <f t="shared" si="124"/>
        <v>0</v>
      </c>
      <c r="N225" s="22">
        <f t="shared" si="124"/>
        <v>0</v>
      </c>
      <c r="O225" s="22">
        <f t="shared" si="124"/>
        <v>0</v>
      </c>
      <c r="P225" s="23">
        <f t="shared" si="93"/>
        <v>0</v>
      </c>
    </row>
    <row r="226" spans="2:21" x14ac:dyDescent="0.25">
      <c r="B226" s="21" t="s">
        <v>369</v>
      </c>
      <c r="C226" s="21" t="s">
        <v>370</v>
      </c>
      <c r="D226" s="22">
        <f>+D227</f>
        <v>0</v>
      </c>
      <c r="E226" s="22">
        <f t="shared" si="124"/>
        <v>0</v>
      </c>
      <c r="F226" s="22">
        <f t="shared" si="124"/>
        <v>0</v>
      </c>
      <c r="G226" s="22">
        <f t="shared" si="124"/>
        <v>0</v>
      </c>
      <c r="H226" s="22">
        <f t="shared" si="124"/>
        <v>0</v>
      </c>
      <c r="I226" s="22">
        <f t="shared" si="124"/>
        <v>0</v>
      </c>
      <c r="J226" s="22">
        <f t="shared" si="124"/>
        <v>0</v>
      </c>
      <c r="K226" s="22">
        <f t="shared" si="124"/>
        <v>0</v>
      </c>
      <c r="L226" s="22">
        <f t="shared" si="124"/>
        <v>0</v>
      </c>
      <c r="M226" s="22">
        <f t="shared" si="124"/>
        <v>0</v>
      </c>
      <c r="N226" s="22">
        <f t="shared" si="124"/>
        <v>0</v>
      </c>
      <c r="O226" s="22">
        <f t="shared" si="124"/>
        <v>0</v>
      </c>
      <c r="P226" s="23">
        <f t="shared" si="93"/>
        <v>0</v>
      </c>
    </row>
    <row r="227" spans="2:21" x14ac:dyDescent="0.25">
      <c r="B227" s="31" t="s">
        <v>371</v>
      </c>
      <c r="C227" s="31" t="s">
        <v>372</v>
      </c>
      <c r="D227" s="25">
        <v>0</v>
      </c>
      <c r="E227" s="25">
        <v>0</v>
      </c>
      <c r="F227" s="25">
        <v>0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47">
        <f t="shared" si="93"/>
        <v>0</v>
      </c>
    </row>
    <row r="228" spans="2:21" x14ac:dyDescent="0.25">
      <c r="B228" s="21" t="s">
        <v>373</v>
      </c>
      <c r="C228" s="21" t="s">
        <v>374</v>
      </c>
      <c r="D228" s="22">
        <f>+D229</f>
        <v>0</v>
      </c>
      <c r="E228" s="22">
        <f t="shared" ref="E228:O229" si="125">+E229</f>
        <v>0</v>
      </c>
      <c r="F228" s="22">
        <f t="shared" si="125"/>
        <v>0</v>
      </c>
      <c r="G228" s="22">
        <f t="shared" si="125"/>
        <v>0</v>
      </c>
      <c r="H228" s="22">
        <f t="shared" si="125"/>
        <v>0</v>
      </c>
      <c r="I228" s="22">
        <f t="shared" si="125"/>
        <v>0</v>
      </c>
      <c r="J228" s="22">
        <f t="shared" si="125"/>
        <v>0</v>
      </c>
      <c r="K228" s="22">
        <f t="shared" si="125"/>
        <v>0</v>
      </c>
      <c r="L228" s="22">
        <f t="shared" si="125"/>
        <v>0</v>
      </c>
      <c r="M228" s="22">
        <f t="shared" si="125"/>
        <v>0</v>
      </c>
      <c r="N228" s="22">
        <f t="shared" si="125"/>
        <v>0</v>
      </c>
      <c r="O228" s="22">
        <f t="shared" si="125"/>
        <v>0</v>
      </c>
      <c r="P228" s="23">
        <f t="shared" si="93"/>
        <v>0</v>
      </c>
    </row>
    <row r="229" spans="2:21" x14ac:dyDescent="0.25">
      <c r="B229" s="21" t="s">
        <v>375</v>
      </c>
      <c r="C229" s="21" t="s">
        <v>376</v>
      </c>
      <c r="D229" s="22">
        <f>+D230</f>
        <v>0</v>
      </c>
      <c r="E229" s="22">
        <f t="shared" si="125"/>
        <v>0</v>
      </c>
      <c r="F229" s="22">
        <f t="shared" si="125"/>
        <v>0</v>
      </c>
      <c r="G229" s="22">
        <f t="shared" si="125"/>
        <v>0</v>
      </c>
      <c r="H229" s="22">
        <f t="shared" si="125"/>
        <v>0</v>
      </c>
      <c r="I229" s="22">
        <f t="shared" si="125"/>
        <v>0</v>
      </c>
      <c r="J229" s="22">
        <f t="shared" si="125"/>
        <v>0</v>
      </c>
      <c r="K229" s="22">
        <f t="shared" si="125"/>
        <v>0</v>
      </c>
      <c r="L229" s="22">
        <f t="shared" si="125"/>
        <v>0</v>
      </c>
      <c r="M229" s="22">
        <f t="shared" si="125"/>
        <v>0</v>
      </c>
      <c r="N229" s="22">
        <f t="shared" si="125"/>
        <v>0</v>
      </c>
      <c r="O229" s="22">
        <f t="shared" si="125"/>
        <v>0</v>
      </c>
      <c r="P229" s="23">
        <f t="shared" si="93"/>
        <v>0</v>
      </c>
    </row>
    <row r="230" spans="2:21" ht="15.75" thickBot="1" x14ac:dyDescent="0.3">
      <c r="B230" s="31" t="s">
        <v>377</v>
      </c>
      <c r="C230" s="31" t="s">
        <v>376</v>
      </c>
      <c r="D230" s="25">
        <v>0</v>
      </c>
      <c r="E230" s="25">
        <v>0</v>
      </c>
      <c r="F230" s="25">
        <v>0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47">
        <f t="shared" si="93"/>
        <v>0</v>
      </c>
    </row>
    <row r="231" spans="2:21" s="17" customFormat="1" x14ac:dyDescent="0.25">
      <c r="B231" s="14">
        <v>2.7</v>
      </c>
      <c r="C231" s="15" t="s">
        <v>378</v>
      </c>
      <c r="D231" s="16">
        <f>+D232</f>
        <v>0</v>
      </c>
      <c r="E231" s="16">
        <f t="shared" ref="E231:O233" si="126">+E232</f>
        <v>0</v>
      </c>
      <c r="F231" s="16">
        <f t="shared" si="126"/>
        <v>0</v>
      </c>
      <c r="G231" s="16">
        <f t="shared" si="126"/>
        <v>0</v>
      </c>
      <c r="H231" s="16">
        <f t="shared" si="126"/>
        <v>0</v>
      </c>
      <c r="I231" s="16">
        <f t="shared" si="126"/>
        <v>3625763.9</v>
      </c>
      <c r="J231" s="16">
        <f t="shared" si="126"/>
        <v>-3625763.9</v>
      </c>
      <c r="K231" s="16">
        <f t="shared" si="126"/>
        <v>0</v>
      </c>
      <c r="L231" s="16">
        <f t="shared" si="126"/>
        <v>8476527.7200000007</v>
      </c>
      <c r="M231" s="16">
        <f t="shared" si="126"/>
        <v>0</v>
      </c>
      <c r="N231" s="16">
        <f t="shared" si="126"/>
        <v>0</v>
      </c>
      <c r="O231" s="16">
        <f t="shared" si="126"/>
        <v>14407792.890000001</v>
      </c>
      <c r="P231" s="16">
        <f t="shared" si="93"/>
        <v>22884320.609999999</v>
      </c>
      <c r="Q231" s="49"/>
      <c r="R231" s="49"/>
      <c r="S231" s="49"/>
      <c r="T231" s="49"/>
      <c r="U231" s="49"/>
    </row>
    <row r="232" spans="2:21" x14ac:dyDescent="0.25">
      <c r="B232" s="21" t="s">
        <v>379</v>
      </c>
      <c r="C232" s="21" t="s">
        <v>380</v>
      </c>
      <c r="D232" s="22">
        <f>+D233+D235</f>
        <v>0</v>
      </c>
      <c r="E232" s="22">
        <f t="shared" ref="E232:O232" si="127">+E233+E235</f>
        <v>0</v>
      </c>
      <c r="F232" s="22">
        <f t="shared" si="127"/>
        <v>0</v>
      </c>
      <c r="G232" s="22">
        <f t="shared" ref="G232" si="128">+G233+G235</f>
        <v>0</v>
      </c>
      <c r="H232" s="22">
        <f t="shared" si="127"/>
        <v>0</v>
      </c>
      <c r="I232" s="22">
        <f t="shared" si="127"/>
        <v>3625763.9</v>
      </c>
      <c r="J232" s="22">
        <f t="shared" si="127"/>
        <v>-3625763.9</v>
      </c>
      <c r="K232" s="22">
        <f t="shared" si="127"/>
        <v>0</v>
      </c>
      <c r="L232" s="22">
        <f t="shared" si="127"/>
        <v>8476527.7200000007</v>
      </c>
      <c r="M232" s="22">
        <f t="shared" si="127"/>
        <v>0</v>
      </c>
      <c r="N232" s="22">
        <f t="shared" si="127"/>
        <v>0</v>
      </c>
      <c r="O232" s="22">
        <f t="shared" si="127"/>
        <v>14407792.890000001</v>
      </c>
      <c r="P232" s="23">
        <f t="shared" si="93"/>
        <v>22884320.609999999</v>
      </c>
    </row>
    <row r="233" spans="2:21" x14ac:dyDescent="0.25">
      <c r="B233" s="21" t="s">
        <v>381</v>
      </c>
      <c r="C233" s="21" t="s">
        <v>382</v>
      </c>
      <c r="D233" s="22">
        <f>+D234</f>
        <v>0</v>
      </c>
      <c r="E233" s="22">
        <f t="shared" si="126"/>
        <v>0</v>
      </c>
      <c r="F233" s="22">
        <f t="shared" si="126"/>
        <v>0</v>
      </c>
      <c r="G233" s="22">
        <f t="shared" si="126"/>
        <v>0</v>
      </c>
      <c r="H233" s="22">
        <f t="shared" si="126"/>
        <v>0</v>
      </c>
      <c r="I233" s="22">
        <f t="shared" si="126"/>
        <v>3625763.9</v>
      </c>
      <c r="J233" s="22">
        <f t="shared" si="126"/>
        <v>-3625763.9</v>
      </c>
      <c r="K233" s="22">
        <f t="shared" si="126"/>
        <v>0</v>
      </c>
      <c r="L233" s="22">
        <f t="shared" si="126"/>
        <v>8476527.7200000007</v>
      </c>
      <c r="M233" s="22">
        <f t="shared" si="126"/>
        <v>0</v>
      </c>
      <c r="N233" s="22">
        <f t="shared" si="126"/>
        <v>0</v>
      </c>
      <c r="O233" s="22">
        <f t="shared" si="126"/>
        <v>14407792.890000001</v>
      </c>
      <c r="P233" s="23">
        <f t="shared" si="93"/>
        <v>22884320.609999999</v>
      </c>
    </row>
    <row r="234" spans="2:21" s="48" customFormat="1" x14ac:dyDescent="0.25">
      <c r="B234" s="31" t="s">
        <v>383</v>
      </c>
      <c r="C234" s="31" t="s">
        <v>382</v>
      </c>
      <c r="D234" s="25">
        <v>0</v>
      </c>
      <c r="E234" s="25">
        <v>0</v>
      </c>
      <c r="F234" s="25">
        <v>0</v>
      </c>
      <c r="G234" s="25"/>
      <c r="H234" s="25"/>
      <c r="I234" s="25">
        <v>3625763.9</v>
      </c>
      <c r="J234" s="25">
        <v>-3625763.9</v>
      </c>
      <c r="K234" s="25"/>
      <c r="L234" s="25">
        <v>8476527.7200000007</v>
      </c>
      <c r="M234" s="25"/>
      <c r="N234" s="25"/>
      <c r="O234" s="25">
        <v>14407792.890000001</v>
      </c>
      <c r="P234" s="33">
        <f t="shared" si="93"/>
        <v>22884320.609999999</v>
      </c>
      <c r="Q234" s="30"/>
      <c r="R234" s="30"/>
      <c r="S234" s="30"/>
      <c r="T234" s="30"/>
      <c r="U234" s="30"/>
    </row>
    <row r="235" spans="2:21" x14ac:dyDescent="0.25">
      <c r="B235" s="21" t="s">
        <v>384</v>
      </c>
      <c r="C235" s="21" t="s">
        <v>385</v>
      </c>
      <c r="D235" s="22">
        <f>+D236</f>
        <v>0</v>
      </c>
      <c r="E235" s="22">
        <f t="shared" ref="E235:O235" si="129">+E236</f>
        <v>0</v>
      </c>
      <c r="F235" s="22">
        <f t="shared" si="129"/>
        <v>0</v>
      </c>
      <c r="G235" s="22">
        <f t="shared" si="129"/>
        <v>0</v>
      </c>
      <c r="H235" s="22">
        <f t="shared" si="129"/>
        <v>0</v>
      </c>
      <c r="I235" s="22">
        <f t="shared" si="129"/>
        <v>0</v>
      </c>
      <c r="J235" s="22">
        <f t="shared" si="129"/>
        <v>0</v>
      </c>
      <c r="K235" s="22">
        <f t="shared" si="129"/>
        <v>0</v>
      </c>
      <c r="L235" s="22">
        <f t="shared" si="129"/>
        <v>0</v>
      </c>
      <c r="M235" s="22">
        <f t="shared" si="129"/>
        <v>0</v>
      </c>
      <c r="N235" s="22">
        <f t="shared" si="129"/>
        <v>0</v>
      </c>
      <c r="O235" s="22">
        <f t="shared" si="129"/>
        <v>0</v>
      </c>
      <c r="P235" s="23">
        <f t="shared" si="93"/>
        <v>0</v>
      </c>
    </row>
    <row r="236" spans="2:21" s="48" customFormat="1" x14ac:dyDescent="0.25">
      <c r="B236" s="31" t="s">
        <v>386</v>
      </c>
      <c r="C236" s="31" t="s">
        <v>385</v>
      </c>
      <c r="D236" s="25">
        <v>0</v>
      </c>
      <c r="E236" s="25">
        <v>0</v>
      </c>
      <c r="F236" s="25">
        <v>0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33">
        <f t="shared" si="93"/>
        <v>0</v>
      </c>
      <c r="Q236" s="30"/>
      <c r="R236" s="30"/>
      <c r="S236" s="30"/>
      <c r="T236" s="30"/>
      <c r="U236" s="30"/>
    </row>
    <row r="243" spans="6:6" x14ac:dyDescent="0.25">
      <c r="F243" s="122"/>
    </row>
  </sheetData>
  <sheetProtection selectLockedCells="1"/>
  <mergeCells count="4">
    <mergeCell ref="B7:P7"/>
    <mergeCell ref="B8:P8"/>
    <mergeCell ref="B9:P9"/>
    <mergeCell ref="B10:P10"/>
  </mergeCells>
  <printOptions horizontalCentered="1"/>
  <pageMargins left="0.25" right="0.25" top="0.75" bottom="0.75" header="0.3" footer="0.3"/>
  <pageSetup paperSize="7" scale="5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showGridLines="0" workbookViewId="0">
      <selection activeCell="E8" sqref="E8"/>
    </sheetView>
  </sheetViews>
  <sheetFormatPr defaultColWidth="9.140625" defaultRowHeight="15" x14ac:dyDescent="0.25"/>
  <cols>
    <col min="2" max="2" width="65.140625" customWidth="1"/>
    <col min="3" max="3" width="23.42578125" bestFit="1" customWidth="1"/>
    <col min="4" max="4" width="18.140625" bestFit="1" customWidth="1"/>
    <col min="5" max="5" width="20.7109375" bestFit="1" customWidth="1"/>
    <col min="6" max="6" width="16.42578125" customWidth="1"/>
    <col min="7" max="7" width="11.28515625" bestFit="1" customWidth="1"/>
  </cols>
  <sheetData>
    <row r="2" spans="1:7" x14ac:dyDescent="0.25">
      <c r="A2" t="s">
        <v>525</v>
      </c>
      <c r="B2" s="96">
        <v>44378</v>
      </c>
    </row>
    <row r="4" spans="1:7" ht="15.75" x14ac:dyDescent="0.25">
      <c r="A4" s="103"/>
      <c r="B4" s="103" t="s">
        <v>64</v>
      </c>
      <c r="C4" s="279">
        <f>+B2</f>
        <v>44378</v>
      </c>
      <c r="D4" s="280"/>
      <c r="E4" s="280"/>
      <c r="F4" s="280"/>
    </row>
    <row r="5" spans="1:7" ht="15.75" x14ac:dyDescent="0.25">
      <c r="A5" s="103"/>
      <c r="B5" s="103" t="s">
        <v>65</v>
      </c>
      <c r="C5" s="114" t="s">
        <v>534</v>
      </c>
      <c r="D5" s="103" t="s">
        <v>535</v>
      </c>
      <c r="E5" s="103" t="s">
        <v>536</v>
      </c>
      <c r="F5" s="103" t="s">
        <v>537</v>
      </c>
    </row>
    <row r="6" spans="1:7" ht="33.75" customHeight="1" x14ac:dyDescent="0.25">
      <c r="A6" s="104" t="s">
        <v>1</v>
      </c>
      <c r="B6" s="104" t="s">
        <v>3</v>
      </c>
      <c r="C6" s="104">
        <v>6</v>
      </c>
      <c r="D6" s="104" t="s">
        <v>538</v>
      </c>
      <c r="E6" s="104" t="s">
        <v>532</v>
      </c>
      <c r="F6" s="105" t="s">
        <v>533</v>
      </c>
    </row>
    <row r="7" spans="1:7" ht="15.75" x14ac:dyDescent="0.25">
      <c r="A7" s="106">
        <v>2.1</v>
      </c>
      <c r="B7" s="107" t="s">
        <v>4</v>
      </c>
      <c r="C7" s="108">
        <f>SUM(C8:C12)</f>
        <v>7416816.583333333</v>
      </c>
      <c r="D7" s="108">
        <f t="shared" ref="D7:E7" si="0">SUM(D8:D12)</f>
        <v>7676686.3700000001</v>
      </c>
      <c r="E7" s="108">
        <f t="shared" si="0"/>
        <v>-259869.78666666686</v>
      </c>
      <c r="F7" s="109">
        <f>IFERROR(+D7/C7,0)</f>
        <v>1.0350379146830504</v>
      </c>
      <c r="G7" s="115">
        <f>IFERROR(+E7/D7,0)</f>
        <v>-3.3851817586585453E-2</v>
      </c>
    </row>
    <row r="8" spans="1:7" ht="15.75" x14ac:dyDescent="0.25">
      <c r="A8" s="110" t="s">
        <v>2</v>
      </c>
      <c r="B8" s="110" t="s">
        <v>5</v>
      </c>
      <c r="C8" s="111">
        <f>IFERROR(VLOOKUP(A8,PRESUPUESTO!A:N,9,FALSE),0)</f>
        <v>5895650</v>
      </c>
      <c r="D8" s="111">
        <f>IFERROR(VLOOKUP(A8,'Reporte Devengado Aprobado'!B:P,9,FALSE),0)</f>
        <v>6644053.9900000002</v>
      </c>
      <c r="E8" s="112">
        <f>+C8-D8</f>
        <v>-748403.99000000022</v>
      </c>
      <c r="F8" s="113">
        <f t="shared" ref="F8:F44" si="1">IFERROR(+D8/C8,0)</f>
        <v>1.1269417265271853</v>
      </c>
      <c r="G8" s="115">
        <f t="shared" ref="G8:G42" si="2">IFERROR(+E8/D8,0)</f>
        <v>-0.1126426713459022</v>
      </c>
    </row>
    <row r="9" spans="1:7" ht="15.75" x14ac:dyDescent="0.25">
      <c r="A9" s="110" t="s">
        <v>6</v>
      </c>
      <c r="B9" s="110" t="s">
        <v>7</v>
      </c>
      <c r="C9" s="111">
        <f>IFERROR(VLOOKUP(A9,PRESUPUESTO!A:N,9,FALSE),0)</f>
        <v>595000</v>
      </c>
      <c r="D9" s="111">
        <f>IFERROR(VLOOKUP(A9,'Reporte Devengado Aprobado'!B:P,9,FALSE),0)</f>
        <v>322180.14</v>
      </c>
      <c r="E9" s="112">
        <f t="shared" ref="E9:E12" si="3">+C9-D9</f>
        <v>272819.86</v>
      </c>
      <c r="F9" s="113">
        <f t="shared" si="1"/>
        <v>0.54147922689075634</v>
      </c>
      <c r="G9" s="115">
        <f t="shared" si="2"/>
        <v>0.8467929152926682</v>
      </c>
    </row>
    <row r="10" spans="1:7" ht="15.75" x14ac:dyDescent="0.25">
      <c r="A10" s="110" t="s">
        <v>8</v>
      </c>
      <c r="B10" s="110" t="s">
        <v>9</v>
      </c>
      <c r="C10" s="111">
        <f>IFERROR(VLOOKUP(A10,PRESUPUESTO!A:N,9,FALSE),0)</f>
        <v>40500</v>
      </c>
      <c r="D10" s="111">
        <f>IFERROR(VLOOKUP(A10,'Reporte Devengado Aprobado'!B:P,9,FALSE),0)</f>
        <v>0</v>
      </c>
      <c r="E10" s="112">
        <f t="shared" si="3"/>
        <v>40500</v>
      </c>
      <c r="F10" s="113">
        <f t="shared" si="1"/>
        <v>0</v>
      </c>
      <c r="G10" s="115">
        <f t="shared" si="2"/>
        <v>0</v>
      </c>
    </row>
    <row r="11" spans="1:7" ht="15.75" x14ac:dyDescent="0.25">
      <c r="A11" s="110" t="s">
        <v>10</v>
      </c>
      <c r="B11" s="110" t="s">
        <v>11</v>
      </c>
      <c r="C11" s="111">
        <f>IFERROR(VLOOKUP(A11,PRESUPUESTO!A:N,9,FALSE),0)</f>
        <v>0</v>
      </c>
      <c r="D11" s="111">
        <f>IFERROR(VLOOKUP(A11,'Reporte Devengado Aprobado'!B:P,9,FALSE),0)</f>
        <v>0</v>
      </c>
      <c r="E11" s="112">
        <f t="shared" si="3"/>
        <v>0</v>
      </c>
      <c r="F11" s="113">
        <f t="shared" si="1"/>
        <v>0</v>
      </c>
      <c r="G11" s="115">
        <f t="shared" si="2"/>
        <v>0</v>
      </c>
    </row>
    <row r="12" spans="1:7" ht="15.75" x14ac:dyDescent="0.25">
      <c r="A12" s="110" t="s">
        <v>12</v>
      </c>
      <c r="B12" s="110" t="s">
        <v>13</v>
      </c>
      <c r="C12" s="111">
        <f>IFERROR(VLOOKUP(A12,PRESUPUESTO!A:N,9,FALSE),0)</f>
        <v>885666.58333333337</v>
      </c>
      <c r="D12" s="111">
        <f>IFERROR(VLOOKUP(A12,'Reporte Devengado Aprobado'!B:P,9,FALSE),0)</f>
        <v>710452.24</v>
      </c>
      <c r="E12" s="112">
        <f t="shared" si="3"/>
        <v>175214.34333333338</v>
      </c>
      <c r="F12" s="113">
        <f t="shared" si="1"/>
        <v>0.80216669948877484</v>
      </c>
      <c r="G12" s="115">
        <f t="shared" si="2"/>
        <v>0.24662367639706981</v>
      </c>
    </row>
    <row r="13" spans="1:7" ht="15.75" x14ac:dyDescent="0.25">
      <c r="A13" s="106">
        <v>2.2000000000000002</v>
      </c>
      <c r="B13" s="107" t="s">
        <v>14</v>
      </c>
      <c r="C13" s="108">
        <f>SUM(C14:C22)</f>
        <v>928383.33333333326</v>
      </c>
      <c r="D13" s="108">
        <f t="shared" ref="D13:E13" si="4">SUM(D14:D22)</f>
        <v>972068.48</v>
      </c>
      <c r="E13" s="108">
        <f t="shared" si="4"/>
        <v>-43685.146666666667</v>
      </c>
      <c r="F13" s="109">
        <f t="shared" si="1"/>
        <v>1.0470550742329858</v>
      </c>
      <c r="G13" s="115">
        <f t="shared" si="2"/>
        <v>-4.4940400358076282E-2</v>
      </c>
    </row>
    <row r="14" spans="1:7" ht="15.75" x14ac:dyDescent="0.25">
      <c r="A14" s="110" t="s">
        <v>15</v>
      </c>
      <c r="B14" s="110" t="s">
        <v>16</v>
      </c>
      <c r="C14" s="111">
        <f>IFERROR(VLOOKUP(A14,PRESUPUESTO!A:N,9,FALSE),0)</f>
        <v>598050</v>
      </c>
      <c r="D14" s="111">
        <f>IFERROR(VLOOKUP(A14,'Reporte Devengado Aprobado'!B:P,9,FALSE),0)</f>
        <v>360116.15</v>
      </c>
      <c r="E14" s="112">
        <f t="shared" ref="E14:E22" si="5">+C14-D14</f>
        <v>237933.84999999998</v>
      </c>
      <c r="F14" s="113">
        <f t="shared" si="1"/>
        <v>0.60215057269459082</v>
      </c>
      <c r="G14" s="115">
        <f t="shared" si="2"/>
        <v>0.66071418901929269</v>
      </c>
    </row>
    <row r="15" spans="1:7" ht="15.75" x14ac:dyDescent="0.25">
      <c r="A15" s="110" t="s">
        <v>17</v>
      </c>
      <c r="B15" s="110" t="s">
        <v>18</v>
      </c>
      <c r="C15" s="111">
        <f>IFERROR(VLOOKUP(A15,PRESUPUESTO!A:N,9,FALSE),0)</f>
        <v>0</v>
      </c>
      <c r="D15" s="111">
        <f>IFERROR(VLOOKUP(A15,'Reporte Devengado Aprobado'!B:P,9,FALSE),0)</f>
        <v>24239.17</v>
      </c>
      <c r="E15" s="112">
        <f t="shared" si="5"/>
        <v>-24239.17</v>
      </c>
      <c r="F15" s="113">
        <f t="shared" si="1"/>
        <v>0</v>
      </c>
      <c r="G15" s="115">
        <f t="shared" si="2"/>
        <v>-1</v>
      </c>
    </row>
    <row r="16" spans="1:7" ht="15.75" x14ac:dyDescent="0.25">
      <c r="A16" s="110" t="s">
        <v>19</v>
      </c>
      <c r="B16" s="110" t="s">
        <v>20</v>
      </c>
      <c r="C16" s="111">
        <f>IFERROR(VLOOKUP(A16,PRESUPUESTO!A:N,9,FALSE),0)</f>
        <v>0</v>
      </c>
      <c r="D16" s="111">
        <f>IFERROR(VLOOKUP(A16,'Reporte Devengado Aprobado'!B:P,9,FALSE),0)</f>
        <v>2750</v>
      </c>
      <c r="E16" s="112">
        <f t="shared" si="5"/>
        <v>-2750</v>
      </c>
      <c r="F16" s="113">
        <f t="shared" si="1"/>
        <v>0</v>
      </c>
      <c r="G16" s="115">
        <f t="shared" si="2"/>
        <v>-1</v>
      </c>
    </row>
    <row r="17" spans="1:7" ht="15.75" x14ac:dyDescent="0.25">
      <c r="A17" s="110" t="s">
        <v>21</v>
      </c>
      <c r="B17" s="110" t="s">
        <v>22</v>
      </c>
      <c r="C17" s="111">
        <f>IFERROR(VLOOKUP(A17,PRESUPUESTO!A:N,9,FALSE),0)</f>
        <v>2000</v>
      </c>
      <c r="D17" s="111">
        <f>IFERROR(VLOOKUP(A17,'Reporte Devengado Aprobado'!B:P,9,FALSE),0)</f>
        <v>0</v>
      </c>
      <c r="E17" s="112">
        <f t="shared" si="5"/>
        <v>2000</v>
      </c>
      <c r="F17" s="113">
        <f t="shared" si="1"/>
        <v>0</v>
      </c>
      <c r="G17" s="115">
        <f t="shared" si="2"/>
        <v>0</v>
      </c>
    </row>
    <row r="18" spans="1:7" ht="15.75" x14ac:dyDescent="0.25">
      <c r="A18" s="110" t="s">
        <v>23</v>
      </c>
      <c r="B18" s="110" t="s">
        <v>24</v>
      </c>
      <c r="C18" s="111">
        <f>IFERROR(VLOOKUP(A18,PRESUPUESTO!A:N,9,FALSE),0)</f>
        <v>0</v>
      </c>
      <c r="D18" s="111">
        <f>IFERROR(VLOOKUP(A18,'Reporte Devengado Aprobado'!B:P,9,FALSE),0)</f>
        <v>27140</v>
      </c>
      <c r="E18" s="112">
        <f t="shared" si="5"/>
        <v>-27140</v>
      </c>
      <c r="F18" s="113">
        <f t="shared" si="1"/>
        <v>0</v>
      </c>
      <c r="G18" s="115">
        <f t="shared" si="2"/>
        <v>-1</v>
      </c>
    </row>
    <row r="19" spans="1:7" ht="15.75" x14ac:dyDescent="0.25">
      <c r="A19" s="110" t="s">
        <v>25</v>
      </c>
      <c r="B19" s="110" t="s">
        <v>26</v>
      </c>
      <c r="C19" s="111">
        <f>IFERROR(VLOOKUP(A19,PRESUPUESTO!A:N,9,FALSE),0)</f>
        <v>283333.33333333331</v>
      </c>
      <c r="D19" s="111">
        <f>IFERROR(VLOOKUP(A19,'Reporte Devengado Aprobado'!B:P,9,FALSE),0)</f>
        <v>183745.84</v>
      </c>
      <c r="E19" s="112">
        <f t="shared" si="5"/>
        <v>99587.493333333317</v>
      </c>
      <c r="F19" s="113">
        <f t="shared" si="1"/>
        <v>0.64851472941176469</v>
      </c>
      <c r="G19" s="115">
        <f t="shared" si="2"/>
        <v>0.54198502308043173</v>
      </c>
    </row>
    <row r="20" spans="1:7" ht="15.75" x14ac:dyDescent="0.25">
      <c r="A20" s="110" t="s">
        <v>27</v>
      </c>
      <c r="B20" s="110" t="s">
        <v>28</v>
      </c>
      <c r="C20" s="111">
        <f>IFERROR(VLOOKUP(A20,PRESUPUESTO!A:N,9,FALSE),0)</f>
        <v>45000</v>
      </c>
      <c r="D20" s="111">
        <f>IFERROR(VLOOKUP(A20,'Reporte Devengado Aprobado'!B:P,9,FALSE),0)</f>
        <v>70408.52</v>
      </c>
      <c r="E20" s="112">
        <f t="shared" si="5"/>
        <v>-25408.520000000004</v>
      </c>
      <c r="F20" s="113">
        <f t="shared" si="1"/>
        <v>1.5646337777777779</v>
      </c>
      <c r="G20" s="115">
        <f t="shared" si="2"/>
        <v>-0.3608728034618538</v>
      </c>
    </row>
    <row r="21" spans="1:7" ht="15.75" x14ac:dyDescent="0.25">
      <c r="A21" s="110" t="s">
        <v>29</v>
      </c>
      <c r="B21" s="110" t="s">
        <v>30</v>
      </c>
      <c r="C21" s="111">
        <f>IFERROR(VLOOKUP(A21,PRESUPUESTO!A:N,9,FALSE),0)</f>
        <v>0</v>
      </c>
      <c r="D21" s="111">
        <f>IFERROR(VLOOKUP(A21,'Reporte Devengado Aprobado'!B:P,9,FALSE),0)</f>
        <v>303668.8</v>
      </c>
      <c r="E21" s="112">
        <f t="shared" si="5"/>
        <v>-303668.8</v>
      </c>
      <c r="F21" s="113">
        <f t="shared" si="1"/>
        <v>0</v>
      </c>
      <c r="G21" s="115">
        <f t="shared" si="2"/>
        <v>-1</v>
      </c>
    </row>
    <row r="22" spans="1:7" ht="15.75" x14ac:dyDescent="0.25">
      <c r="A22" s="110" t="s">
        <v>31</v>
      </c>
      <c r="B22" s="110" t="s">
        <v>32</v>
      </c>
      <c r="C22" s="111">
        <f>IFERROR(VLOOKUP(A22,PRESUPUESTO!A:N,9,FALSE),0)</f>
        <v>0</v>
      </c>
      <c r="D22" s="111">
        <f>IFERROR(VLOOKUP(A22,'Reporte Devengado Aprobado'!B:P,9,FALSE),0)</f>
        <v>0</v>
      </c>
      <c r="E22" s="112">
        <f t="shared" si="5"/>
        <v>0</v>
      </c>
      <c r="F22" s="113">
        <f t="shared" si="1"/>
        <v>0</v>
      </c>
      <c r="G22" s="115">
        <f t="shared" si="2"/>
        <v>0</v>
      </c>
    </row>
    <row r="23" spans="1:7" ht="15.75" x14ac:dyDescent="0.25">
      <c r="A23" s="106">
        <v>2.2999999999999998</v>
      </c>
      <c r="B23" s="107" t="s">
        <v>33</v>
      </c>
      <c r="C23" s="108">
        <f>SUM(C24:C31)</f>
        <v>312000</v>
      </c>
      <c r="D23" s="108">
        <f t="shared" ref="D23:E23" si="6">SUM(D24:D31)</f>
        <v>853150</v>
      </c>
      <c r="E23" s="108">
        <f t="shared" si="6"/>
        <v>-541150</v>
      </c>
      <c r="F23" s="109">
        <f t="shared" si="1"/>
        <v>2.7344551282051284</v>
      </c>
      <c r="G23" s="115">
        <f t="shared" si="2"/>
        <v>-0.63429643087382059</v>
      </c>
    </row>
    <row r="24" spans="1:7" ht="15.75" x14ac:dyDescent="0.25">
      <c r="A24" s="110" t="s">
        <v>34</v>
      </c>
      <c r="B24" s="110" t="s">
        <v>35</v>
      </c>
      <c r="C24" s="111">
        <f>IFERROR(VLOOKUP(A24,PRESUPUESTO!A:N,9,FALSE),0)</f>
        <v>0</v>
      </c>
      <c r="D24" s="111">
        <f>IFERROR(VLOOKUP(A24,'Reporte Devengado Aprobado'!B:P,9,FALSE),0)</f>
        <v>0</v>
      </c>
      <c r="E24" s="112">
        <f t="shared" ref="E24:E31" si="7">+C24-D24</f>
        <v>0</v>
      </c>
      <c r="F24" s="113">
        <f t="shared" si="1"/>
        <v>0</v>
      </c>
      <c r="G24" s="115">
        <f t="shared" si="2"/>
        <v>0</v>
      </c>
    </row>
    <row r="25" spans="1:7" ht="15.75" x14ac:dyDescent="0.25">
      <c r="A25" s="110" t="s">
        <v>36</v>
      </c>
      <c r="B25" s="110" t="s">
        <v>37</v>
      </c>
      <c r="C25" s="111">
        <f>IFERROR(VLOOKUP(A25,PRESUPUESTO!A:N,9,FALSE),0)</f>
        <v>0</v>
      </c>
      <c r="D25" s="111">
        <f>IFERROR(VLOOKUP(A25,'Reporte Devengado Aprobado'!B:P,9,FALSE),0)</f>
        <v>0</v>
      </c>
      <c r="E25" s="112">
        <f t="shared" si="7"/>
        <v>0</v>
      </c>
      <c r="F25" s="113">
        <f t="shared" si="1"/>
        <v>0</v>
      </c>
      <c r="G25" s="115">
        <f t="shared" si="2"/>
        <v>0</v>
      </c>
    </row>
    <row r="26" spans="1:7" ht="15.75" x14ac:dyDescent="0.25">
      <c r="A26" s="110" t="s">
        <v>38</v>
      </c>
      <c r="B26" s="110" t="s">
        <v>39</v>
      </c>
      <c r="C26" s="111">
        <f>IFERROR(VLOOKUP(A26,PRESUPUESTO!A:N,9,FALSE),0)</f>
        <v>0</v>
      </c>
      <c r="D26" s="111">
        <f>IFERROR(VLOOKUP(A26,'Reporte Devengado Aprobado'!B:P,9,FALSE),0)</f>
        <v>0</v>
      </c>
      <c r="E26" s="112">
        <f t="shared" si="7"/>
        <v>0</v>
      </c>
      <c r="F26" s="113">
        <f t="shared" si="1"/>
        <v>0</v>
      </c>
      <c r="G26" s="115">
        <f t="shared" si="2"/>
        <v>0</v>
      </c>
    </row>
    <row r="27" spans="1:7" ht="15.75" x14ac:dyDescent="0.25">
      <c r="A27" s="110" t="s">
        <v>40</v>
      </c>
      <c r="B27" s="110" t="s">
        <v>41</v>
      </c>
      <c r="C27" s="111">
        <f>IFERROR(VLOOKUP(A27,PRESUPUESTO!A:N,9,FALSE),0)</f>
        <v>0</v>
      </c>
      <c r="D27" s="111">
        <f>IFERROR(VLOOKUP(A27,'Reporte Devengado Aprobado'!B:P,9,FALSE),0)</f>
        <v>0</v>
      </c>
      <c r="E27" s="112">
        <f t="shared" si="7"/>
        <v>0</v>
      </c>
      <c r="F27" s="113">
        <f t="shared" si="1"/>
        <v>0</v>
      </c>
      <c r="G27" s="115">
        <f t="shared" si="2"/>
        <v>0</v>
      </c>
    </row>
    <row r="28" spans="1:7" ht="15.75" x14ac:dyDescent="0.25">
      <c r="A28" s="110" t="s">
        <v>42</v>
      </c>
      <c r="B28" s="110" t="s">
        <v>43</v>
      </c>
      <c r="C28" s="111">
        <f>IFERROR(VLOOKUP(A28,PRESUPUESTO!A:N,9,FALSE),0)</f>
        <v>0</v>
      </c>
      <c r="D28" s="111">
        <f>IFERROR(VLOOKUP(A28,'Reporte Devengado Aprobado'!B:P,9,FALSE),0)</f>
        <v>0</v>
      </c>
      <c r="E28" s="112">
        <f t="shared" si="7"/>
        <v>0</v>
      </c>
      <c r="F28" s="113">
        <f t="shared" si="1"/>
        <v>0</v>
      </c>
      <c r="G28" s="115">
        <f t="shared" si="2"/>
        <v>0</v>
      </c>
    </row>
    <row r="29" spans="1:7" ht="15.75" x14ac:dyDescent="0.25">
      <c r="A29" s="110" t="s">
        <v>44</v>
      </c>
      <c r="B29" s="110" t="s">
        <v>45</v>
      </c>
      <c r="C29" s="111">
        <f>IFERROR(VLOOKUP(A29,PRESUPUESTO!A:N,9,FALSE),0)</f>
        <v>0</v>
      </c>
      <c r="D29" s="111">
        <f>IFERROR(VLOOKUP(A29,'Reporte Devengado Aprobado'!B:P,9,FALSE),0)</f>
        <v>0</v>
      </c>
      <c r="E29" s="112">
        <f t="shared" si="7"/>
        <v>0</v>
      </c>
      <c r="F29" s="113">
        <f t="shared" si="1"/>
        <v>0</v>
      </c>
      <c r="G29" s="115">
        <f t="shared" si="2"/>
        <v>0</v>
      </c>
    </row>
    <row r="30" spans="1:7" ht="15.75" x14ac:dyDescent="0.25">
      <c r="A30" s="110" t="s">
        <v>46</v>
      </c>
      <c r="B30" s="110" t="s">
        <v>47</v>
      </c>
      <c r="C30" s="111">
        <f>IFERROR(VLOOKUP(A30,PRESUPUESTO!A:N,9,FALSE),0)</f>
        <v>312000</v>
      </c>
      <c r="D30" s="111">
        <f>IFERROR(VLOOKUP(A30,'Reporte Devengado Aprobado'!B:P,9,FALSE),0)</f>
        <v>853150</v>
      </c>
      <c r="E30" s="112">
        <f t="shared" si="7"/>
        <v>-541150</v>
      </c>
      <c r="F30" s="113">
        <f t="shared" si="1"/>
        <v>2.7344551282051284</v>
      </c>
      <c r="G30" s="115">
        <f t="shared" si="2"/>
        <v>-0.63429643087382059</v>
      </c>
    </row>
    <row r="31" spans="1:7" ht="15.75" x14ac:dyDescent="0.25">
      <c r="A31" s="110" t="s">
        <v>48</v>
      </c>
      <c r="B31" s="110" t="s">
        <v>49</v>
      </c>
      <c r="C31" s="111">
        <f>IFERROR(VLOOKUP(A31,PRESUPUESTO!A:N,9,FALSE),0)</f>
        <v>0</v>
      </c>
      <c r="D31" s="111">
        <f>IFERROR(VLOOKUP(A31,'Reporte Devengado Aprobado'!B:P,9,FALSE),0)</f>
        <v>0</v>
      </c>
      <c r="E31" s="112">
        <f t="shared" si="7"/>
        <v>0</v>
      </c>
      <c r="F31" s="113">
        <f t="shared" si="1"/>
        <v>0</v>
      </c>
      <c r="G31" s="115">
        <f t="shared" si="2"/>
        <v>0</v>
      </c>
    </row>
    <row r="32" spans="1:7" ht="15.75" x14ac:dyDescent="0.25">
      <c r="A32" s="106">
        <v>2.4</v>
      </c>
      <c r="B32" s="107" t="s">
        <v>50</v>
      </c>
      <c r="C32" s="108">
        <f>SUM(C33:C34)</f>
        <v>3720000</v>
      </c>
      <c r="D32" s="108">
        <f t="shared" ref="D32:E32" si="8">SUM(D33:D34)</f>
        <v>0</v>
      </c>
      <c r="E32" s="108">
        <f t="shared" si="8"/>
        <v>3720000</v>
      </c>
      <c r="F32" s="113">
        <f t="shared" si="1"/>
        <v>0</v>
      </c>
      <c r="G32" s="115">
        <f t="shared" si="2"/>
        <v>0</v>
      </c>
    </row>
    <row r="33" spans="1:7" ht="15.75" x14ac:dyDescent="0.25">
      <c r="A33" s="110" t="s">
        <v>51</v>
      </c>
      <c r="B33" s="110" t="s">
        <v>52</v>
      </c>
      <c r="C33" s="111">
        <f>IFERROR(VLOOKUP(A33,PRESUPUESTO!A:N,9,FALSE),0)</f>
        <v>20000</v>
      </c>
      <c r="D33" s="111">
        <f>IFERROR(VLOOKUP(A33,'Reporte Devengado Aprobado'!B:P,9,FALSE),0)</f>
        <v>0</v>
      </c>
      <c r="E33" s="112">
        <f t="shared" ref="E33:E34" si="9">+C33-D33</f>
        <v>20000</v>
      </c>
      <c r="F33" s="113">
        <f t="shared" si="1"/>
        <v>0</v>
      </c>
      <c r="G33" s="115">
        <f t="shared" si="2"/>
        <v>0</v>
      </c>
    </row>
    <row r="34" spans="1:7" ht="15.75" x14ac:dyDescent="0.25">
      <c r="A34" s="110" t="s">
        <v>53</v>
      </c>
      <c r="B34" s="110" t="s">
        <v>54</v>
      </c>
      <c r="C34" s="111">
        <f>IFERROR(VLOOKUP(A34,PRESUPUESTO!A:N,9,FALSE),0)</f>
        <v>3700000</v>
      </c>
      <c r="D34" s="111">
        <f>IFERROR(VLOOKUP(A34,'Reporte Devengado Aprobado'!B:P,9,FALSE),0)</f>
        <v>0</v>
      </c>
      <c r="E34" s="112">
        <f t="shared" si="9"/>
        <v>3700000</v>
      </c>
      <c r="F34" s="113">
        <f t="shared" si="1"/>
        <v>0</v>
      </c>
      <c r="G34" s="115">
        <f t="shared" si="2"/>
        <v>0</v>
      </c>
    </row>
    <row r="35" spans="1:7" ht="15.75" x14ac:dyDescent="0.25">
      <c r="A35" s="106">
        <v>2.6</v>
      </c>
      <c r="B35" s="107" t="s">
        <v>55</v>
      </c>
      <c r="C35" s="108">
        <f>SUM(C36:C38)</f>
        <v>0</v>
      </c>
      <c r="D35" s="108">
        <f>IFERROR(VLOOKUP(A35,'Reporte Devengado Aprobado'!B:P,8,FALSE),0)</f>
        <v>0</v>
      </c>
      <c r="E35" s="108">
        <f t="shared" ref="E35" si="10">SUM(E36:E39)</f>
        <v>3625763.9</v>
      </c>
      <c r="F35" s="113">
        <f t="shared" si="1"/>
        <v>0</v>
      </c>
      <c r="G35" s="115">
        <f t="shared" si="2"/>
        <v>0</v>
      </c>
    </row>
    <row r="36" spans="1:7" ht="15.75" x14ac:dyDescent="0.25">
      <c r="A36" s="110" t="s">
        <v>56</v>
      </c>
      <c r="B36" s="110" t="s">
        <v>57</v>
      </c>
      <c r="C36" s="111">
        <f>IFERROR(VLOOKUP(A36,PRESUPUESTO!A:N,9,FALSE),0)</f>
        <v>0</v>
      </c>
      <c r="D36" s="111">
        <f>IFERROR(VLOOKUP(A36,'Reporte Devengado Aprobado'!B:P,9,FALSE),0)</f>
        <v>0</v>
      </c>
      <c r="E36" s="112">
        <f t="shared" ref="E36:E42" si="11">+C36-D36</f>
        <v>0</v>
      </c>
      <c r="F36" s="113">
        <f t="shared" si="1"/>
        <v>0</v>
      </c>
      <c r="G36" s="115">
        <f t="shared" si="2"/>
        <v>0</v>
      </c>
    </row>
    <row r="37" spans="1:7" ht="15.75" x14ac:dyDescent="0.25">
      <c r="A37" s="110" t="s">
        <v>58</v>
      </c>
      <c r="B37" s="110" t="s">
        <v>59</v>
      </c>
      <c r="C37" s="111">
        <f>IFERROR(VLOOKUP(A37,PRESUPUESTO!A:N,9,FALSE),0)</f>
        <v>0</v>
      </c>
      <c r="D37" s="111">
        <f>IFERROR(VLOOKUP(A37,'Reporte Devengado Aprobado'!B:P,9,FALSE),0)</f>
        <v>0</v>
      </c>
      <c r="E37" s="112">
        <f t="shared" si="11"/>
        <v>0</v>
      </c>
      <c r="F37" s="113">
        <f t="shared" si="1"/>
        <v>0</v>
      </c>
      <c r="G37" s="115">
        <f t="shared" si="2"/>
        <v>0</v>
      </c>
    </row>
    <row r="38" spans="1:7" ht="15.75" x14ac:dyDescent="0.25">
      <c r="A38" s="110" t="s">
        <v>60</v>
      </c>
      <c r="B38" s="110" t="s">
        <v>61</v>
      </c>
      <c r="C38" s="111">
        <f>IFERROR(VLOOKUP(A38,PRESUPUESTO!A:N,9,FALSE),0)</f>
        <v>0</v>
      </c>
      <c r="D38" s="111">
        <f>IFERROR(VLOOKUP(A38,'Reporte Devengado Aprobado'!B:P,9,FALSE),0)</f>
        <v>0</v>
      </c>
      <c r="E38" s="112">
        <f t="shared" si="11"/>
        <v>0</v>
      </c>
      <c r="F38" s="113">
        <f t="shared" si="1"/>
        <v>0</v>
      </c>
      <c r="G38" s="115">
        <f t="shared" si="2"/>
        <v>0</v>
      </c>
    </row>
    <row r="39" spans="1:7" ht="15.75" x14ac:dyDescent="0.25">
      <c r="A39" s="106">
        <v>2.7</v>
      </c>
      <c r="B39" s="107" t="s">
        <v>378</v>
      </c>
      <c r="C39" s="108">
        <f>SUM(C40:C41)</f>
        <v>0</v>
      </c>
      <c r="D39" s="108">
        <f>IFERROR(VLOOKUP(A39,'Reporte Devengado Aprobado'!B:P,9,FALSE),0)</f>
        <v>-3625763.9</v>
      </c>
      <c r="E39" s="108">
        <f t="shared" si="11"/>
        <v>3625763.9</v>
      </c>
      <c r="F39" s="113">
        <f t="shared" si="1"/>
        <v>0</v>
      </c>
      <c r="G39" s="115">
        <f t="shared" si="2"/>
        <v>-1</v>
      </c>
    </row>
    <row r="40" spans="1:7" ht="15.75" x14ac:dyDescent="0.25">
      <c r="A40" s="110" t="s">
        <v>379</v>
      </c>
      <c r="B40" s="110" t="s">
        <v>380</v>
      </c>
      <c r="C40" s="111">
        <f>IFERROR(VLOOKUP(A40,PRESUPUESTO!A:N,9,FALSE),0)</f>
        <v>0</v>
      </c>
      <c r="D40" s="111">
        <f>IFERROR(VLOOKUP(A40,'Reporte Devengado Aprobado'!B:P,9,FALSE),0)</f>
        <v>-3625763.9</v>
      </c>
      <c r="E40" s="112">
        <f t="shared" si="11"/>
        <v>3625763.9</v>
      </c>
      <c r="F40" s="113">
        <f t="shared" si="1"/>
        <v>0</v>
      </c>
      <c r="G40" s="115">
        <f t="shared" si="2"/>
        <v>-1</v>
      </c>
    </row>
    <row r="41" spans="1:7" ht="15.75" x14ac:dyDescent="0.25">
      <c r="A41" s="110"/>
      <c r="B41" s="110"/>
      <c r="C41" s="111">
        <f>IFERROR(VLOOKUP(A41,PRESUPUESTO!A:N,9,FALSE),0)</f>
        <v>0</v>
      </c>
      <c r="D41" s="111">
        <f>IFERROR(VLOOKUP(A41,'Reporte Devengado Aprobado'!B:P,9,FALSE),0)</f>
        <v>0</v>
      </c>
      <c r="E41" s="112">
        <f t="shared" si="11"/>
        <v>0</v>
      </c>
      <c r="F41" s="113">
        <f t="shared" si="1"/>
        <v>0</v>
      </c>
      <c r="G41" s="115">
        <f t="shared" si="2"/>
        <v>0</v>
      </c>
    </row>
    <row r="42" spans="1:7" ht="15.75" x14ac:dyDescent="0.25">
      <c r="A42" s="110"/>
      <c r="B42" s="110"/>
      <c r="C42" s="111"/>
      <c r="D42" s="111"/>
      <c r="E42" s="112">
        <f t="shared" si="11"/>
        <v>0</v>
      </c>
      <c r="F42" s="113">
        <f t="shared" si="1"/>
        <v>0</v>
      </c>
      <c r="G42" s="115">
        <f t="shared" si="2"/>
        <v>0</v>
      </c>
    </row>
    <row r="43" spans="1:7" ht="15.75" x14ac:dyDescent="0.25">
      <c r="A43" s="110"/>
      <c r="B43" s="110"/>
      <c r="C43" s="111"/>
      <c r="D43" s="111"/>
      <c r="E43" s="112"/>
      <c r="F43" s="113"/>
      <c r="G43" s="115"/>
    </row>
    <row r="44" spans="1:7" ht="15.75" x14ac:dyDescent="0.25">
      <c r="A44" s="110"/>
      <c r="B44" s="107" t="s">
        <v>62</v>
      </c>
      <c r="C44" s="108">
        <f>+C7+C13+C23+C32+C35+C39</f>
        <v>12377199.916666666</v>
      </c>
      <c r="D44" s="108">
        <f>+D7+D13+D23+D32+D35+D39</f>
        <v>5876140.9499999993</v>
      </c>
      <c r="E44" s="108">
        <f>+E7+E13+E23+E32+E35</f>
        <v>6501058.9666666668</v>
      </c>
      <c r="F44" s="109">
        <f t="shared" si="1"/>
        <v>0.47475527498650255</v>
      </c>
    </row>
    <row r="45" spans="1:7" x14ac:dyDescent="0.25">
      <c r="C45" s="3"/>
      <c r="D45" s="3"/>
      <c r="E45" s="3"/>
    </row>
    <row r="47" spans="1:7" x14ac:dyDescent="0.25">
      <c r="A47" s="97" t="s">
        <v>526</v>
      </c>
      <c r="B47" s="97"/>
      <c r="C47" s="98">
        <f>+'PRESUPUESTO SIGEF 2021'!K192</f>
        <v>12377199.916666664</v>
      </c>
      <c r="D47" s="98">
        <f>+'Reporte Devengado Aprobado'!J13</f>
        <v>5876140.9499999993</v>
      </c>
    </row>
    <row r="48" spans="1:7" x14ac:dyDescent="0.25">
      <c r="C48" s="50">
        <f>+C47-C44</f>
        <v>0</v>
      </c>
      <c r="D48" s="50">
        <f>+D47-D44</f>
        <v>0</v>
      </c>
      <c r="E48" s="3"/>
    </row>
    <row r="49" spans="5:5" x14ac:dyDescent="0.25">
      <c r="E49" s="3"/>
    </row>
  </sheetData>
  <mergeCells count="1">
    <mergeCell ref="C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0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G6" sqref="G6:G9"/>
    </sheetView>
  </sheetViews>
  <sheetFormatPr defaultColWidth="9.140625" defaultRowHeight="15" x14ac:dyDescent="0.25"/>
  <cols>
    <col min="2" max="2" width="23.85546875" customWidth="1"/>
    <col min="3" max="3" width="45" customWidth="1"/>
    <col min="4" max="4" width="28" customWidth="1"/>
    <col min="5" max="8" width="37" customWidth="1"/>
  </cols>
  <sheetData>
    <row r="2" spans="2:8" x14ac:dyDescent="0.25">
      <c r="D2" s="50">
        <f>+D5-D3</f>
        <v>0</v>
      </c>
      <c r="E2" s="50">
        <f>+E3-E5</f>
        <v>23798.76999999996</v>
      </c>
      <c r="F2" s="50">
        <f>+F3-F5</f>
        <v>36737.069999999949</v>
      </c>
      <c r="G2" s="50">
        <f>+G5-G3</f>
        <v>21199.099999999977</v>
      </c>
    </row>
    <row r="3" spans="2:8" s="3" customFormat="1" ht="15.75" thickBot="1" x14ac:dyDescent="0.3">
      <c r="D3" s="3">
        <v>314996.21000000002</v>
      </c>
      <c r="E3" s="3">
        <v>368575.58</v>
      </c>
      <c r="F3" s="3">
        <v>371902.44</v>
      </c>
      <c r="G3" s="3">
        <v>362556.4</v>
      </c>
    </row>
    <row r="4" spans="2:8" ht="21" x14ac:dyDescent="0.35">
      <c r="B4" s="125" t="s">
        <v>392</v>
      </c>
      <c r="C4" s="123" t="s">
        <v>393</v>
      </c>
      <c r="D4" s="123" t="s">
        <v>66</v>
      </c>
      <c r="E4" s="123" t="s">
        <v>63</v>
      </c>
      <c r="F4" s="123" t="s">
        <v>73</v>
      </c>
      <c r="G4" s="123" t="s">
        <v>74</v>
      </c>
      <c r="H4" s="123" t="s">
        <v>75</v>
      </c>
    </row>
    <row r="5" spans="2:8" x14ac:dyDescent="0.25">
      <c r="B5" s="153" t="s">
        <v>129</v>
      </c>
      <c r="C5" s="154" t="s">
        <v>130</v>
      </c>
      <c r="D5" s="155">
        <f>SUM(D6:D22)</f>
        <v>314996.21000000008</v>
      </c>
      <c r="E5" s="155">
        <f t="shared" ref="E5:H5" si="0">SUM(E6:E22)</f>
        <v>344776.81000000006</v>
      </c>
      <c r="F5" s="155">
        <f t="shared" si="0"/>
        <v>335165.37000000005</v>
      </c>
      <c r="G5" s="155">
        <f t="shared" si="0"/>
        <v>383755.5</v>
      </c>
      <c r="H5" s="155">
        <f t="shared" si="0"/>
        <v>0</v>
      </c>
    </row>
    <row r="6" spans="2:8" ht="15.75" x14ac:dyDescent="0.25">
      <c r="B6" s="150" t="s">
        <v>394</v>
      </c>
      <c r="C6" s="151" t="s">
        <v>395</v>
      </c>
      <c r="D6" s="149">
        <v>112533.22</v>
      </c>
      <c r="E6" s="149">
        <v>125348.39</v>
      </c>
      <c r="F6" s="149">
        <v>106200.42</v>
      </c>
      <c r="G6" s="149">
        <v>117757.12</v>
      </c>
      <c r="H6" s="152"/>
    </row>
    <row r="7" spans="2:8" ht="15.75" x14ac:dyDescent="0.25">
      <c r="B7" s="147" t="s">
        <v>394</v>
      </c>
      <c r="C7" s="148" t="s">
        <v>558</v>
      </c>
      <c r="D7" s="149"/>
      <c r="E7" s="149"/>
      <c r="F7" s="149"/>
      <c r="G7" s="149">
        <v>1299.83</v>
      </c>
      <c r="H7" s="152"/>
    </row>
    <row r="8" spans="2:8" ht="15.75" x14ac:dyDescent="0.25">
      <c r="B8" s="147" t="s">
        <v>394</v>
      </c>
      <c r="C8" s="148" t="s">
        <v>548</v>
      </c>
      <c r="D8" s="149">
        <v>75837.48</v>
      </c>
      <c r="E8" s="149">
        <v>96102.12</v>
      </c>
      <c r="F8" s="149">
        <v>73897.66</v>
      </c>
      <c r="G8" s="149">
        <v>79062.490000000005</v>
      </c>
      <c r="H8" s="149"/>
    </row>
    <row r="9" spans="2:8" ht="15.75" x14ac:dyDescent="0.25">
      <c r="B9" s="147" t="s">
        <v>394</v>
      </c>
      <c r="C9" s="148" t="s">
        <v>556</v>
      </c>
      <c r="D9" s="149"/>
      <c r="E9" s="149"/>
      <c r="F9" s="149">
        <v>17512.3</v>
      </c>
      <c r="G9" s="149">
        <v>2906.9</v>
      </c>
      <c r="H9" s="149"/>
    </row>
    <row r="10" spans="2:8" ht="15.75" x14ac:dyDescent="0.25">
      <c r="B10" s="147" t="s">
        <v>394</v>
      </c>
      <c r="C10" s="148" t="s">
        <v>549</v>
      </c>
      <c r="D10" s="149">
        <v>12762</v>
      </c>
      <c r="E10" s="149">
        <v>12762</v>
      </c>
      <c r="F10" s="149">
        <v>12762</v>
      </c>
      <c r="G10" s="149">
        <v>12762</v>
      </c>
      <c r="H10" s="149"/>
    </row>
    <row r="11" spans="2:8" ht="15.75" x14ac:dyDescent="0.25">
      <c r="B11" s="147" t="s">
        <v>394</v>
      </c>
      <c r="C11" s="148" t="s">
        <v>550</v>
      </c>
      <c r="D11" s="149"/>
      <c r="E11" s="149">
        <v>1013.87</v>
      </c>
      <c r="F11" s="149"/>
      <c r="G11" s="149"/>
      <c r="H11" s="149"/>
    </row>
    <row r="12" spans="2:8" ht="15.75" x14ac:dyDescent="0.25">
      <c r="B12" s="138" t="s">
        <v>554</v>
      </c>
      <c r="C12" s="139" t="s">
        <v>397</v>
      </c>
      <c r="D12" s="140">
        <v>69363.83</v>
      </c>
      <c r="E12" s="140">
        <v>63987.25</v>
      </c>
      <c r="F12" s="140">
        <v>67213.2</v>
      </c>
      <c r="G12" s="140">
        <v>69269.3</v>
      </c>
      <c r="H12" s="140"/>
    </row>
    <row r="13" spans="2:8" ht="15.75" x14ac:dyDescent="0.25">
      <c r="B13" s="135" t="s">
        <v>554</v>
      </c>
      <c r="C13" s="136" t="s">
        <v>551</v>
      </c>
      <c r="D13" s="137">
        <v>16377.9</v>
      </c>
      <c r="E13" s="137">
        <v>16377.9</v>
      </c>
      <c r="F13" s="137"/>
      <c r="G13" s="137">
        <v>46214.04</v>
      </c>
      <c r="H13" s="137"/>
    </row>
    <row r="14" spans="2:8" ht="15.75" x14ac:dyDescent="0.25">
      <c r="B14" s="135" t="s">
        <v>554</v>
      </c>
      <c r="C14" s="136" t="s">
        <v>556</v>
      </c>
      <c r="D14" s="137"/>
      <c r="E14" s="137"/>
      <c r="F14" s="137">
        <v>15101.7</v>
      </c>
      <c r="G14" s="137">
        <v>18292.2</v>
      </c>
      <c r="H14" s="137"/>
    </row>
    <row r="15" spans="2:8" ht="15.75" x14ac:dyDescent="0.25">
      <c r="B15" s="135" t="s">
        <v>554</v>
      </c>
      <c r="C15" s="136" t="s">
        <v>552</v>
      </c>
      <c r="D15" s="137"/>
      <c r="E15" s="137"/>
      <c r="F15" s="137"/>
      <c r="G15" s="137"/>
      <c r="H15" s="137"/>
    </row>
    <row r="16" spans="2:8" ht="15.75" x14ac:dyDescent="0.25">
      <c r="B16" s="135" t="s">
        <v>554</v>
      </c>
      <c r="C16" s="136" t="s">
        <v>553</v>
      </c>
      <c r="D16" s="137"/>
      <c r="E16" s="137"/>
      <c r="F16" s="137"/>
      <c r="G16" s="137"/>
      <c r="H16" s="137"/>
    </row>
    <row r="17" spans="2:8" ht="15.75" x14ac:dyDescent="0.25">
      <c r="B17" s="141" t="s">
        <v>555</v>
      </c>
      <c r="C17" s="142" t="s">
        <v>399</v>
      </c>
      <c r="D17" s="143">
        <v>25569.38</v>
      </c>
      <c r="E17" s="143">
        <v>26632.880000000001</v>
      </c>
      <c r="F17" s="143">
        <v>26632.880000000001</v>
      </c>
      <c r="G17" s="143">
        <v>26632.880000000001</v>
      </c>
      <c r="H17" s="143"/>
    </row>
    <row r="18" spans="2:8" ht="15.75" x14ac:dyDescent="0.25">
      <c r="B18" s="144" t="s">
        <v>555</v>
      </c>
      <c r="C18" s="145" t="s">
        <v>551</v>
      </c>
      <c r="D18" s="146">
        <v>2552.4</v>
      </c>
      <c r="E18" s="146">
        <v>2552.4</v>
      </c>
      <c r="F18" s="146"/>
      <c r="G18" s="146">
        <v>9558.74</v>
      </c>
      <c r="H18" s="146"/>
    </row>
    <row r="19" spans="2:8" ht="15.75" x14ac:dyDescent="0.25">
      <c r="B19" s="144" t="s">
        <v>555</v>
      </c>
      <c r="C19" s="145" t="s">
        <v>556</v>
      </c>
      <c r="D19" s="146"/>
      <c r="E19" s="146"/>
      <c r="F19" s="146">
        <f>6286.47+9558.74</f>
        <v>15845.21</v>
      </c>
      <c r="G19" s="146"/>
      <c r="H19" s="146"/>
    </row>
    <row r="20" spans="2:8" ht="15.75" x14ac:dyDescent="0.25">
      <c r="B20" s="144" t="s">
        <v>555</v>
      </c>
      <c r="C20" s="145" t="s">
        <v>552</v>
      </c>
      <c r="D20" s="146"/>
      <c r="E20" s="146"/>
      <c r="F20" s="146"/>
      <c r="G20" s="146"/>
      <c r="H20" s="146"/>
    </row>
    <row r="21" spans="2:8" ht="15.75" x14ac:dyDescent="0.25">
      <c r="B21" s="144" t="s">
        <v>555</v>
      </c>
      <c r="C21" s="145" t="s">
        <v>553</v>
      </c>
      <c r="D21" s="146"/>
      <c r="E21" s="146"/>
      <c r="F21" s="146"/>
      <c r="G21" s="146"/>
      <c r="H21" s="146"/>
    </row>
    <row r="22" spans="2:8" ht="15.75" x14ac:dyDescent="0.25">
      <c r="B22" s="144" t="s">
        <v>555</v>
      </c>
      <c r="C22" s="145" t="s">
        <v>557</v>
      </c>
      <c r="D22" s="146"/>
      <c r="E22" s="146"/>
      <c r="F22" s="146"/>
      <c r="G22" s="146"/>
      <c r="H22" s="146"/>
    </row>
    <row r="23" spans="2:8" ht="30" x14ac:dyDescent="0.25">
      <c r="B23" s="153" t="s">
        <v>133</v>
      </c>
      <c r="C23" s="154" t="s">
        <v>132</v>
      </c>
      <c r="D23" s="155">
        <f>SUM(D24:D40)</f>
        <v>328994.36</v>
      </c>
      <c r="E23" s="155">
        <f t="shared" ref="E23:H23" si="1">SUM(E24:E40)</f>
        <v>357942.24</v>
      </c>
      <c r="F23" s="155">
        <f t="shared" si="1"/>
        <v>350815.02</v>
      </c>
      <c r="G23" s="155">
        <f t="shared" si="1"/>
        <v>399473.69</v>
      </c>
      <c r="H23" s="155">
        <f t="shared" si="1"/>
        <v>0</v>
      </c>
    </row>
    <row r="24" spans="2:8" ht="15.75" x14ac:dyDescent="0.25">
      <c r="B24" s="150" t="s">
        <v>394</v>
      </c>
      <c r="C24" s="151" t="s">
        <v>395</v>
      </c>
      <c r="D24" s="149">
        <v>122822.19</v>
      </c>
      <c r="E24" s="149">
        <v>135655.44</v>
      </c>
      <c r="F24" s="149">
        <v>116290.19</v>
      </c>
      <c r="G24" s="149">
        <v>127863.19</v>
      </c>
      <c r="H24" s="152"/>
    </row>
    <row r="25" spans="2:8" ht="15.75" x14ac:dyDescent="0.25">
      <c r="B25" s="147" t="s">
        <v>394</v>
      </c>
      <c r="C25" s="148" t="s">
        <v>558</v>
      </c>
      <c r="D25" s="149"/>
      <c r="E25" s="149"/>
      <c r="F25" s="149"/>
      <c r="G25" s="149">
        <v>1301.67</v>
      </c>
      <c r="H25" s="152"/>
    </row>
    <row r="26" spans="2:8" ht="15.75" x14ac:dyDescent="0.25">
      <c r="B26" s="147" t="s">
        <v>394</v>
      </c>
      <c r="C26" s="148" t="s">
        <v>548</v>
      </c>
      <c r="D26" s="149">
        <v>77035</v>
      </c>
      <c r="E26" s="149">
        <v>98406</v>
      </c>
      <c r="F26" s="149">
        <v>76538</v>
      </c>
      <c r="G26" s="149">
        <v>81342.33</v>
      </c>
      <c r="H26" s="149"/>
    </row>
    <row r="27" spans="2:8" ht="15.75" x14ac:dyDescent="0.25">
      <c r="B27" s="147" t="s">
        <v>394</v>
      </c>
      <c r="C27" s="148" t="s">
        <v>556</v>
      </c>
      <c r="D27" s="149"/>
      <c r="E27" s="149"/>
      <c r="F27" s="149">
        <v>17537</v>
      </c>
      <c r="G27" s="149">
        <v>2911</v>
      </c>
      <c r="H27" s="149"/>
    </row>
    <row r="28" spans="2:8" ht="15.75" x14ac:dyDescent="0.25">
      <c r="B28" s="147" t="s">
        <v>394</v>
      </c>
      <c r="C28" s="148" t="s">
        <v>549</v>
      </c>
      <c r="D28" s="149">
        <v>12780</v>
      </c>
      <c r="E28" s="149">
        <v>12780</v>
      </c>
      <c r="F28" s="149">
        <v>12780</v>
      </c>
      <c r="G28" s="149">
        <v>12780</v>
      </c>
      <c r="H28" s="149"/>
    </row>
    <row r="29" spans="2:8" ht="15.75" x14ac:dyDescent="0.25">
      <c r="B29" s="147" t="s">
        <v>394</v>
      </c>
      <c r="C29" s="148" t="s">
        <v>550</v>
      </c>
      <c r="D29" s="149"/>
      <c r="E29" s="149">
        <v>1015.3</v>
      </c>
      <c r="F29" s="149"/>
      <c r="G29" s="149"/>
      <c r="H29" s="149"/>
    </row>
    <row r="30" spans="2:8" ht="15.75" x14ac:dyDescent="0.25">
      <c r="B30" s="138" t="s">
        <v>554</v>
      </c>
      <c r="C30" s="139" t="s">
        <v>397</v>
      </c>
      <c r="D30" s="140">
        <v>69461.67</v>
      </c>
      <c r="E30" s="140">
        <v>64077.5</v>
      </c>
      <c r="F30" s="140">
        <v>67308</v>
      </c>
      <c r="G30" s="140">
        <v>69367</v>
      </c>
      <c r="H30" s="140"/>
    </row>
    <row r="31" spans="2:8" ht="15.75" x14ac:dyDescent="0.25">
      <c r="B31" s="135" t="s">
        <v>554</v>
      </c>
      <c r="C31" s="136" t="s">
        <v>551</v>
      </c>
      <c r="D31" s="137">
        <v>16401</v>
      </c>
      <c r="E31" s="137">
        <v>16401</v>
      </c>
      <c r="F31" s="137"/>
      <c r="G31" s="137">
        <v>46647</v>
      </c>
      <c r="H31" s="137"/>
    </row>
    <row r="32" spans="2:8" ht="15.75" x14ac:dyDescent="0.25">
      <c r="B32" s="135" t="s">
        <v>554</v>
      </c>
      <c r="C32" s="136" t="s">
        <v>556</v>
      </c>
      <c r="D32" s="137"/>
      <c r="E32" s="137"/>
      <c r="F32" s="137">
        <v>15123</v>
      </c>
      <c r="G32" s="137">
        <v>18318</v>
      </c>
      <c r="H32" s="137"/>
    </row>
    <row r="33" spans="2:8" ht="15.75" x14ac:dyDescent="0.25">
      <c r="B33" s="135" t="s">
        <v>554</v>
      </c>
      <c r="C33" s="136" t="s">
        <v>552</v>
      </c>
      <c r="D33" s="137"/>
      <c r="E33" s="137"/>
      <c r="F33" s="137"/>
      <c r="G33" s="137"/>
      <c r="H33" s="137"/>
    </row>
    <row r="34" spans="2:8" ht="15.75" x14ac:dyDescent="0.25">
      <c r="B34" s="135" t="s">
        <v>554</v>
      </c>
      <c r="C34" s="136" t="s">
        <v>553</v>
      </c>
      <c r="D34" s="137"/>
      <c r="E34" s="137"/>
      <c r="F34" s="137"/>
      <c r="G34" s="137"/>
      <c r="H34" s="137"/>
    </row>
    <row r="35" spans="2:8" ht="15.75" x14ac:dyDescent="0.25">
      <c r="B35" s="141" t="s">
        <v>555</v>
      </c>
      <c r="C35" s="142" t="s">
        <v>399</v>
      </c>
      <c r="D35" s="143">
        <v>27938.5</v>
      </c>
      <c r="E35" s="143">
        <v>27051</v>
      </c>
      <c r="F35" s="143">
        <v>27051</v>
      </c>
      <c r="G35" s="143">
        <v>27051</v>
      </c>
      <c r="H35" s="143"/>
    </row>
    <row r="36" spans="2:8" ht="15.75" x14ac:dyDescent="0.25">
      <c r="B36" s="144" t="s">
        <v>555</v>
      </c>
      <c r="C36" s="145" t="s">
        <v>551</v>
      </c>
      <c r="D36" s="146">
        <v>2556</v>
      </c>
      <c r="E36" s="146">
        <v>2556</v>
      </c>
      <c r="F36" s="146"/>
      <c r="G36" s="146">
        <v>9940</v>
      </c>
      <c r="H36" s="146"/>
    </row>
    <row r="37" spans="2:8" ht="15.75" x14ac:dyDescent="0.25">
      <c r="B37" s="144" t="s">
        <v>555</v>
      </c>
      <c r="C37" s="145" t="s">
        <v>556</v>
      </c>
      <c r="D37" s="146"/>
      <c r="E37" s="146"/>
      <c r="F37" s="146">
        <f>6295.33+9940</f>
        <v>16235.33</v>
      </c>
      <c r="G37" s="146"/>
      <c r="H37" s="146"/>
    </row>
    <row r="38" spans="2:8" ht="15.75" x14ac:dyDescent="0.25">
      <c r="B38" s="144" t="s">
        <v>555</v>
      </c>
      <c r="C38" s="145" t="s">
        <v>552</v>
      </c>
      <c r="D38" s="146"/>
      <c r="E38" s="146"/>
      <c r="F38" s="146"/>
      <c r="G38" s="146"/>
      <c r="H38" s="146"/>
    </row>
    <row r="39" spans="2:8" ht="15.75" x14ac:dyDescent="0.25">
      <c r="B39" s="144" t="s">
        <v>555</v>
      </c>
      <c r="C39" s="145" t="s">
        <v>553</v>
      </c>
      <c r="D39" s="146"/>
      <c r="E39" s="146"/>
      <c r="F39" s="146"/>
      <c r="G39" s="146"/>
      <c r="H39" s="146"/>
    </row>
    <row r="40" spans="2:8" ht="15.75" x14ac:dyDescent="0.25">
      <c r="B40" s="144" t="s">
        <v>555</v>
      </c>
      <c r="C40" s="145" t="s">
        <v>557</v>
      </c>
      <c r="D40" s="146"/>
      <c r="E40" s="146"/>
      <c r="F40" s="146">
        <v>1952.5</v>
      </c>
      <c r="G40" s="146">
        <v>1952.5</v>
      </c>
      <c r="H40" s="146"/>
    </row>
    <row r="41" spans="2:8" ht="30" x14ac:dyDescent="0.25">
      <c r="B41" s="153" t="s">
        <v>136</v>
      </c>
      <c r="C41" s="154" t="s">
        <v>137</v>
      </c>
      <c r="D41" s="155">
        <f>SUM(D42:D58)</f>
        <v>37615.649999999994</v>
      </c>
      <c r="E41" s="155">
        <f t="shared" ref="E41:H41" si="2">SUM(E42:E58)</f>
        <v>39880.869999999995</v>
      </c>
      <c r="F41" s="155">
        <f t="shared" si="2"/>
        <v>38417.322999999989</v>
      </c>
      <c r="G41" s="155">
        <f t="shared" si="2"/>
        <v>43541.46</v>
      </c>
      <c r="H41" s="155">
        <f t="shared" si="2"/>
        <v>0</v>
      </c>
    </row>
    <row r="42" spans="2:8" ht="15.75" x14ac:dyDescent="0.25">
      <c r="B42" s="150" t="s">
        <v>394</v>
      </c>
      <c r="C42" s="151" t="s">
        <v>395</v>
      </c>
      <c r="D42" s="149">
        <v>14248.89</v>
      </c>
      <c r="E42" s="149">
        <v>15400.35</v>
      </c>
      <c r="F42" s="149">
        <v>13331.18</v>
      </c>
      <c r="G42" s="149">
        <v>14924.6</v>
      </c>
      <c r="H42" s="152"/>
    </row>
    <row r="43" spans="2:8" ht="15.75" x14ac:dyDescent="0.25">
      <c r="B43" s="147" t="s">
        <v>394</v>
      </c>
      <c r="C43" s="148" t="s">
        <v>558</v>
      </c>
      <c r="D43" s="149"/>
      <c r="E43" s="149"/>
      <c r="F43" s="149"/>
      <c r="G43" s="149">
        <v>201.67</v>
      </c>
      <c r="H43" s="152"/>
    </row>
    <row r="44" spans="2:8" ht="15.75" x14ac:dyDescent="0.25">
      <c r="B44" s="147" t="s">
        <v>394</v>
      </c>
      <c r="C44" s="148" t="s">
        <v>548</v>
      </c>
      <c r="D44" s="149">
        <v>7935.68</v>
      </c>
      <c r="E44" s="149">
        <v>9561.31</v>
      </c>
      <c r="F44" s="149">
        <v>6758.68</v>
      </c>
      <c r="G44" s="149">
        <v>7737.68</v>
      </c>
      <c r="H44" s="149"/>
    </row>
    <row r="45" spans="2:8" ht="15.75" x14ac:dyDescent="0.25">
      <c r="B45" s="147" t="s">
        <v>394</v>
      </c>
      <c r="C45" s="148" t="s">
        <v>556</v>
      </c>
      <c r="D45" s="149"/>
      <c r="E45" s="149"/>
      <c r="F45" s="149">
        <v>2187.42</v>
      </c>
      <c r="G45" s="149">
        <v>451</v>
      </c>
      <c r="H45" s="149"/>
    </row>
    <row r="46" spans="2:8" ht="15.75" x14ac:dyDescent="0.25">
      <c r="B46" s="147" t="s">
        <v>394</v>
      </c>
      <c r="C46" s="148" t="s">
        <v>549</v>
      </c>
      <c r="D46" s="149">
        <v>1779.63</v>
      </c>
      <c r="E46" s="149">
        <v>1779.63</v>
      </c>
      <c r="F46" s="149">
        <v>1779.63</v>
      </c>
      <c r="G46" s="149">
        <v>1779.63</v>
      </c>
      <c r="H46" s="149"/>
    </row>
    <row r="47" spans="2:8" ht="15.75" x14ac:dyDescent="0.25">
      <c r="B47" s="147" t="s">
        <v>394</v>
      </c>
      <c r="C47" s="148" t="s">
        <v>550</v>
      </c>
      <c r="D47" s="149"/>
      <c r="E47" s="149">
        <v>157.30000000000001</v>
      </c>
      <c r="F47" s="149"/>
      <c r="G47" s="149"/>
      <c r="H47" s="149"/>
    </row>
    <row r="48" spans="2:8" ht="15.75" x14ac:dyDescent="0.25">
      <c r="B48" s="138" t="s">
        <v>554</v>
      </c>
      <c r="C48" s="139" t="s">
        <v>397</v>
      </c>
      <c r="D48" s="140">
        <v>9375.61</v>
      </c>
      <c r="E48" s="140">
        <v>8663.23</v>
      </c>
      <c r="F48" s="140">
        <v>9163.7330000000002</v>
      </c>
      <c r="G48" s="140">
        <v>9184.94</v>
      </c>
      <c r="H48" s="140"/>
    </row>
    <row r="49" spans="2:8" ht="15.75" x14ac:dyDescent="0.25">
      <c r="B49" s="135" t="s">
        <v>554</v>
      </c>
      <c r="C49" s="136" t="s">
        <v>551</v>
      </c>
      <c r="D49" s="137">
        <v>1692.42</v>
      </c>
      <c r="E49" s="137">
        <v>1692.42</v>
      </c>
      <c r="F49" s="137"/>
      <c r="G49" s="137">
        <v>4658.47</v>
      </c>
      <c r="H49" s="137"/>
    </row>
    <row r="50" spans="2:8" ht="15.75" x14ac:dyDescent="0.25">
      <c r="B50" s="135" t="s">
        <v>554</v>
      </c>
      <c r="C50" s="136" t="s">
        <v>556</v>
      </c>
      <c r="D50" s="137"/>
      <c r="E50" s="137"/>
      <c r="F50" s="137">
        <v>1779.63</v>
      </c>
      <c r="G50" s="137">
        <v>1779.63</v>
      </c>
      <c r="H50" s="137"/>
    </row>
    <row r="51" spans="2:8" ht="15.75" x14ac:dyDescent="0.25">
      <c r="B51" s="135" t="s">
        <v>554</v>
      </c>
      <c r="C51" s="136" t="s">
        <v>552</v>
      </c>
      <c r="D51" s="137"/>
      <c r="E51" s="137"/>
      <c r="F51" s="137"/>
      <c r="G51" s="137"/>
      <c r="H51" s="137"/>
    </row>
    <row r="52" spans="2:8" ht="15.75" x14ac:dyDescent="0.25">
      <c r="B52" s="135" t="s">
        <v>554</v>
      </c>
      <c r="C52" s="136" t="s">
        <v>553</v>
      </c>
      <c r="D52" s="137"/>
      <c r="E52" s="137"/>
      <c r="F52" s="137"/>
      <c r="G52" s="137"/>
      <c r="H52" s="137"/>
    </row>
    <row r="53" spans="2:8" ht="15.75" x14ac:dyDescent="0.25">
      <c r="B53" s="141" t="s">
        <v>555</v>
      </c>
      <c r="C53" s="142" t="s">
        <v>399</v>
      </c>
      <c r="D53" s="143">
        <v>2187.42</v>
      </c>
      <c r="E53" s="143">
        <v>2230.63</v>
      </c>
      <c r="F53" s="143">
        <v>2230.63</v>
      </c>
      <c r="G53" s="143">
        <v>2230.63</v>
      </c>
      <c r="H53" s="143"/>
    </row>
    <row r="54" spans="2:8" ht="15.75" x14ac:dyDescent="0.25">
      <c r="B54" s="144" t="s">
        <v>555</v>
      </c>
      <c r="C54" s="145" t="s">
        <v>551</v>
      </c>
      <c r="D54" s="146">
        <v>396</v>
      </c>
      <c r="E54" s="146">
        <v>396</v>
      </c>
      <c r="F54" s="146"/>
      <c r="G54" s="146">
        <v>593.21</v>
      </c>
      <c r="H54" s="146"/>
    </row>
    <row r="55" spans="2:8" ht="15.75" x14ac:dyDescent="0.25">
      <c r="B55" s="144" t="s">
        <v>555</v>
      </c>
      <c r="C55" s="145" t="s">
        <v>556</v>
      </c>
      <c r="D55" s="146"/>
      <c r="E55" s="146"/>
      <c r="F55" s="146">
        <f>593.21+593.21</f>
        <v>1186.42</v>
      </c>
      <c r="G55" s="146"/>
      <c r="H55" s="146"/>
    </row>
    <row r="56" spans="2:8" ht="15.75" x14ac:dyDescent="0.25">
      <c r="B56" s="144" t="s">
        <v>555</v>
      </c>
      <c r="C56" s="145" t="s">
        <v>552</v>
      </c>
      <c r="D56" s="146"/>
      <c r="E56" s="146"/>
      <c r="F56" s="146"/>
      <c r="G56" s="146"/>
      <c r="H56" s="146"/>
    </row>
    <row r="57" spans="2:8" ht="15.75" x14ac:dyDescent="0.25">
      <c r="B57" s="144" t="s">
        <v>555</v>
      </c>
      <c r="C57" s="145" t="s">
        <v>553</v>
      </c>
      <c r="D57" s="146"/>
      <c r="E57" s="146"/>
      <c r="F57" s="146"/>
      <c r="G57" s="146"/>
      <c r="H57" s="146"/>
    </row>
    <row r="58" spans="2:8" ht="15.75" x14ac:dyDescent="0.25">
      <c r="B58" s="144" t="s">
        <v>555</v>
      </c>
      <c r="C58" s="145" t="s">
        <v>557</v>
      </c>
      <c r="D58" s="146"/>
      <c r="E58" s="146"/>
      <c r="F58" s="146"/>
      <c r="G58" s="146"/>
      <c r="H58" s="146"/>
    </row>
    <row r="59" spans="2:8" x14ac:dyDescent="0.25">
      <c r="D59" s="3">
        <v>37615.65</v>
      </c>
      <c r="E59" s="3">
        <v>42661.5</v>
      </c>
      <c r="F59" s="3">
        <v>41735.370000000003</v>
      </c>
      <c r="G59" s="3">
        <v>41310.83</v>
      </c>
    </row>
    <row r="60" spans="2:8" x14ac:dyDescent="0.25">
      <c r="D60" s="50">
        <f>+D59-D41</f>
        <v>0</v>
      </c>
      <c r="E60" s="50">
        <f t="shared" ref="E60:G60" si="3">+E59-E41</f>
        <v>2780.6300000000047</v>
      </c>
      <c r="F60" s="50">
        <f t="shared" si="3"/>
        <v>3318.0470000000132</v>
      </c>
      <c r="G60" s="50">
        <f t="shared" si="3"/>
        <v>-2230.6299999999974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5"/>
  <sheetViews>
    <sheetView showGridLines="0" workbookViewId="0">
      <selection activeCell="C14" sqref="C14"/>
    </sheetView>
  </sheetViews>
  <sheetFormatPr defaultRowHeight="15" x14ac:dyDescent="0.25"/>
  <cols>
    <col min="2" max="2" width="9.7109375" bestFit="1" customWidth="1"/>
    <col min="3" max="3" width="59.28515625" bestFit="1" customWidth="1"/>
    <col min="4" max="4" width="22.42578125" customWidth="1"/>
    <col min="5" max="5" width="16.5703125" customWidth="1"/>
    <col min="6" max="6" width="21.28515625" customWidth="1"/>
    <col min="7" max="7" width="20.7109375" bestFit="1" customWidth="1"/>
    <col min="8" max="8" width="20.42578125" customWidth="1"/>
    <col min="9" max="9" width="13.28515625" bestFit="1" customWidth="1"/>
  </cols>
  <sheetData>
    <row r="3" spans="2:10" x14ac:dyDescent="0.25">
      <c r="G3">
        <v>2</v>
      </c>
      <c r="H3" t="s">
        <v>619</v>
      </c>
    </row>
    <row r="4" spans="2:10" ht="41.25" customHeight="1" x14ac:dyDescent="0.25">
      <c r="B4" s="281" t="s">
        <v>604</v>
      </c>
      <c r="C4" s="282"/>
      <c r="D4" s="235" t="s">
        <v>620</v>
      </c>
      <c r="E4" s="235" t="s">
        <v>646</v>
      </c>
      <c r="F4" s="235" t="s">
        <v>621</v>
      </c>
      <c r="G4" s="235" t="s">
        <v>647</v>
      </c>
      <c r="H4" s="235" t="s">
        <v>612</v>
      </c>
    </row>
    <row r="5" spans="2:10" x14ac:dyDescent="0.25">
      <c r="B5" s="236" t="s">
        <v>88</v>
      </c>
      <c r="C5" s="236" t="s">
        <v>89</v>
      </c>
      <c r="D5" s="237">
        <v>3614533.33</v>
      </c>
      <c r="E5" s="237">
        <f>+'PRESUPUESTO SIGEF 2021'!AG9</f>
        <v>2570750</v>
      </c>
      <c r="F5" s="237">
        <f>+'PRESUPUESTO SIGEF 2021'!AK9</f>
        <v>12361664.490000002</v>
      </c>
      <c r="G5" s="237">
        <f>+E5*$G$3</f>
        <v>5141500</v>
      </c>
      <c r="H5" s="237">
        <f>+F5-G5</f>
        <v>7220164.4900000021</v>
      </c>
    </row>
    <row r="6" spans="2:10" x14ac:dyDescent="0.25">
      <c r="B6" s="236" t="s">
        <v>96</v>
      </c>
      <c r="C6" s="236" t="s">
        <v>615</v>
      </c>
      <c r="D6" s="237">
        <v>120000</v>
      </c>
      <c r="E6" s="237">
        <v>120000</v>
      </c>
      <c r="F6" s="237">
        <f>+'PRESUPUESTO SIGEF 2021'!AK13</f>
        <v>780000</v>
      </c>
      <c r="G6" s="237">
        <f t="shared" ref="G6:G10" si="0">+E6*$G$3</f>
        <v>240000</v>
      </c>
      <c r="H6" s="237">
        <f t="shared" ref="H6:H10" si="1">+F6-G6</f>
        <v>540000</v>
      </c>
      <c r="I6" s="50"/>
    </row>
    <row r="7" spans="2:10" x14ac:dyDescent="0.25">
      <c r="B7" s="236" t="s">
        <v>98</v>
      </c>
      <c r="C7" s="236" t="s">
        <v>569</v>
      </c>
      <c r="D7" s="237">
        <f>2198500</f>
        <v>2198500</v>
      </c>
      <c r="E7" s="237">
        <f>+'PRESUPUESTO SIGEF 2021'!AG25</f>
        <v>2448000</v>
      </c>
      <c r="F7" s="237">
        <f>+'PRESUPUESTO SIGEF 2021'!AK25</f>
        <v>6276167.1700000018</v>
      </c>
      <c r="G7" s="237">
        <f t="shared" si="0"/>
        <v>4896000</v>
      </c>
      <c r="H7" s="237">
        <f t="shared" si="1"/>
        <v>1380167.1700000018</v>
      </c>
      <c r="I7" s="3"/>
    </row>
    <row r="8" spans="2:10" x14ac:dyDescent="0.25">
      <c r="B8" s="236" t="s">
        <v>527</v>
      </c>
      <c r="C8" s="236" t="s">
        <v>528</v>
      </c>
      <c r="D8" s="237">
        <v>320000</v>
      </c>
      <c r="E8" s="237">
        <v>320000</v>
      </c>
      <c r="F8" s="237">
        <f>+'PRESUPUESTO SIGEF 2021'!AK29</f>
        <v>657000</v>
      </c>
      <c r="G8" s="237">
        <f t="shared" si="0"/>
        <v>640000</v>
      </c>
      <c r="H8" s="237">
        <f t="shared" si="1"/>
        <v>17000</v>
      </c>
      <c r="I8" s="50"/>
    </row>
    <row r="9" spans="2:10" x14ac:dyDescent="0.25">
      <c r="B9" s="236" t="s">
        <v>539</v>
      </c>
      <c r="C9" s="236" t="s">
        <v>570</v>
      </c>
      <c r="D9" s="237">
        <v>107500</v>
      </c>
      <c r="E9" s="237">
        <v>107500</v>
      </c>
      <c r="F9" s="237">
        <f>+'PRESUPUESTO SIGEF 2021'!AK31</f>
        <v>242500</v>
      </c>
      <c r="G9" s="237">
        <f t="shared" si="0"/>
        <v>215000</v>
      </c>
      <c r="H9" s="237">
        <f t="shared" si="1"/>
        <v>27500</v>
      </c>
    </row>
    <row r="10" spans="2:10" x14ac:dyDescent="0.25">
      <c r="B10" s="236" t="s">
        <v>114</v>
      </c>
      <c r="C10" s="236" t="s">
        <v>402</v>
      </c>
      <c r="D10" s="237">
        <v>666000</v>
      </c>
      <c r="E10" s="237">
        <f>+'PRESUPUESTO SIGEF 2021'!AG33</f>
        <v>399000</v>
      </c>
      <c r="F10" s="237">
        <f>+'PRESUPUESTO SIGEF 2021'!AK33</f>
        <v>3003200</v>
      </c>
      <c r="G10" s="237">
        <f t="shared" si="0"/>
        <v>798000</v>
      </c>
      <c r="H10" s="237">
        <f t="shared" si="1"/>
        <v>2205200</v>
      </c>
    </row>
    <row r="11" spans="2:10" x14ac:dyDescent="0.25">
      <c r="D11" s="3"/>
      <c r="E11" s="3"/>
      <c r="F11" s="3"/>
      <c r="G11" s="3"/>
      <c r="H11" s="3"/>
    </row>
    <row r="12" spans="2:10" x14ac:dyDescent="0.25">
      <c r="C12" s="238" t="s">
        <v>613</v>
      </c>
      <c r="D12" s="246">
        <f>SUM(D5:D11)</f>
        <v>7026533.3300000001</v>
      </c>
      <c r="E12" s="247">
        <f t="shared" ref="E12:H12" si="2">SUM(E5:E11)</f>
        <v>5965250</v>
      </c>
      <c r="F12" s="247">
        <f t="shared" si="2"/>
        <v>23320531.660000004</v>
      </c>
      <c r="G12" s="247">
        <f t="shared" si="2"/>
        <v>11930500</v>
      </c>
      <c r="H12" s="248">
        <f t="shared" si="2"/>
        <v>11390031.660000004</v>
      </c>
      <c r="I12" s="3"/>
      <c r="J12" s="3"/>
    </row>
    <row r="13" spans="2:10" x14ac:dyDescent="0.25">
      <c r="D13" s="50"/>
      <c r="E13" s="50"/>
      <c r="F13" s="50"/>
      <c r="G13" s="50"/>
      <c r="H13" s="50"/>
    </row>
    <row r="16" spans="2:10" x14ac:dyDescent="0.25">
      <c r="B16" s="238"/>
      <c r="C16" s="249" t="s">
        <v>622</v>
      </c>
      <c r="D16" s="239">
        <f>+E12</f>
        <v>5965250</v>
      </c>
    </row>
    <row r="17" spans="2:8" x14ac:dyDescent="0.25">
      <c r="B17" s="236" t="s">
        <v>609</v>
      </c>
      <c r="C17" s="236" t="s">
        <v>610</v>
      </c>
      <c r="D17" s="241">
        <v>3638446.03</v>
      </c>
    </row>
    <row r="18" spans="2:8" ht="15.75" thickBot="1" x14ac:dyDescent="0.3">
      <c r="B18" s="238"/>
      <c r="C18" s="238" t="s">
        <v>617</v>
      </c>
      <c r="D18" s="242">
        <v>1801530.36</v>
      </c>
      <c r="G18" s="50"/>
      <c r="H18" s="3"/>
    </row>
    <row r="19" spans="2:8" ht="15.75" thickTop="1" x14ac:dyDescent="0.25">
      <c r="B19" s="238"/>
      <c r="C19" s="240" t="s">
        <v>616</v>
      </c>
      <c r="D19" s="243">
        <f>+H5</f>
        <v>7220164.4900000021</v>
      </c>
    </row>
    <row r="20" spans="2:8" x14ac:dyDescent="0.25">
      <c r="B20" s="238"/>
      <c r="C20" s="238"/>
      <c r="D20" s="238"/>
    </row>
    <row r="21" spans="2:8" x14ac:dyDescent="0.25">
      <c r="B21" s="283" t="s">
        <v>618</v>
      </c>
      <c r="C21" s="283"/>
      <c r="D21" s="244"/>
    </row>
    <row r="22" spans="2:8" x14ac:dyDescent="0.25">
      <c r="B22" s="236" t="s">
        <v>88</v>
      </c>
      <c r="C22" s="236" t="str">
        <f>+C5</f>
        <v>Sueldos Fijos</v>
      </c>
      <c r="D22" s="243">
        <f>+D19-D18</f>
        <v>5418634.1300000018</v>
      </c>
    </row>
    <row r="23" spans="2:8" x14ac:dyDescent="0.25">
      <c r="B23" s="236" t="s">
        <v>114</v>
      </c>
      <c r="C23" s="236" t="str">
        <f>+C10</f>
        <v>Compensación Servicios de Seguridad</v>
      </c>
      <c r="D23" s="245">
        <f>+H10</f>
        <v>2205200</v>
      </c>
    </row>
    <row r="24" spans="2:8" ht="15.75" thickBot="1" x14ac:dyDescent="0.3">
      <c r="B24" s="238"/>
      <c r="C24" s="238"/>
      <c r="D24" s="242"/>
    </row>
    <row r="25" spans="2:8" ht="15.75" thickTop="1" x14ac:dyDescent="0.25"/>
  </sheetData>
  <mergeCells count="2">
    <mergeCell ref="B4:C4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PRESUPUESTO SIGEF 2021</vt:lpstr>
      <vt:lpstr>PRESUPUESTO</vt:lpstr>
      <vt:lpstr>Reporte Devengado Aprobado</vt:lpstr>
      <vt:lpstr>Planilla de presupuesto</vt:lpstr>
      <vt:lpstr>Sheet2</vt:lpstr>
      <vt:lpstr>Sheet1</vt:lpstr>
      <vt:lpstr>PRESUPUESTO!Print_Area</vt:lpstr>
      <vt:lpstr>'PRESUPUESTO SIGEF 2021'!Print_Area</vt:lpstr>
      <vt:lpstr>'Reporte Devengado Aprobado'!Print_Area</vt:lpstr>
      <vt:lpstr>'PRESUPUESTO SIGEF 2021'!Print_Titles</vt:lpstr>
      <vt:lpstr>'Reporte Devengado Aprobado'!Print_Titles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Leslie M Coste Pérez</cp:lastModifiedBy>
  <cp:lastPrinted>2021-10-08T17:48:16Z</cp:lastPrinted>
  <dcterms:created xsi:type="dcterms:W3CDTF">2021-01-27T18:05:24Z</dcterms:created>
  <dcterms:modified xsi:type="dcterms:W3CDTF">2022-01-31T15:33:50Z</dcterms:modified>
</cp:coreProperties>
</file>